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13_ncr:1_{780092E3-643D-4A8A-B34A-EBC6D0AF3AE7}" xr6:coauthVersionLast="47" xr6:coauthVersionMax="47" xr10:uidLastSave="{00000000-0000-0000-0000-000000000000}"/>
  <workbookProtection workbookAlgorithmName="SHA-512" workbookHashValue="wxjR+d2KhirpJ8Uwz2gEpRoPqYEMxFWWlQYZscpYBtDxcgzsA2NynLp1QYSXJ1wFdQMc9NfoPKPqxLBEystduQ==" workbookSaltValue="khEZooIggAoc27fNpa4RHg==" workbookSpinCount="100000" lockStructure="1"/>
  <bookViews>
    <workbookView xWindow="57480" yWindow="-120" windowWidth="29040" windowHeight="15840" xr2:uid="{00000000-000D-0000-FFFF-FFFF00000000}"/>
  </bookViews>
  <sheets>
    <sheet name="Absorbent Landscape Sizing Tool" sheetId="5" r:id="rId1"/>
    <sheet name="Unit Conversion" sheetId="6" r:id="rId2"/>
    <sheet name="Reference Illustration" sheetId="4" r:id="rId3"/>
    <sheet name="Assump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6" l="1"/>
  <c r="C22" i="6"/>
  <c r="B22" i="6"/>
  <c r="E21" i="6"/>
  <c r="C21" i="6"/>
  <c r="B21" i="6"/>
  <c r="E20" i="6"/>
  <c r="D20" i="6"/>
  <c r="B20" i="6"/>
  <c r="E19" i="6"/>
  <c r="D19" i="6"/>
  <c r="C19" i="6"/>
  <c r="D15" i="6"/>
  <c r="C15" i="6"/>
  <c r="B15" i="6"/>
  <c r="E14" i="6"/>
  <c r="C14" i="6"/>
  <c r="B14" i="6"/>
  <c r="E13" i="6"/>
  <c r="D13" i="6"/>
  <c r="B13" i="6"/>
  <c r="E12" i="6"/>
  <c r="D12" i="6"/>
  <c r="C12" i="6"/>
  <c r="D24" i="5" l="1"/>
  <c r="D23" i="5"/>
  <c r="H16" i="5" l="1"/>
  <c r="D26" i="5"/>
  <c r="D31" i="5"/>
  <c r="D30" i="5"/>
  <c r="D29" i="5"/>
  <c r="D19" i="5"/>
  <c r="D13" i="5"/>
  <c r="D14" i="5" l="1"/>
  <c r="D15" i="5" s="1"/>
  <c r="D32" i="5"/>
  <c r="D34" i="5" s="1"/>
  <c r="D35" i="5" s="1"/>
  <c r="D36" i="5" l="1"/>
</calcChain>
</file>

<file path=xl/sharedStrings.xml><?xml version="1.0" encoding="utf-8"?>
<sst xmlns="http://schemas.openxmlformats.org/spreadsheetml/2006/main" count="81" uniqueCount="66">
  <si>
    <t>mm</t>
  </si>
  <si>
    <t>Imperviousness</t>
  </si>
  <si>
    <t>Runoff Coefficient</t>
  </si>
  <si>
    <t>m</t>
  </si>
  <si>
    <t>Estimated Storage Capacity</t>
  </si>
  <si>
    <t>Rainfall to be Managed (mm)</t>
  </si>
  <si>
    <t>Runoff Volume (m3)</t>
  </si>
  <si>
    <t>Notes</t>
  </si>
  <si>
    <t>Target 100% storage capacity.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</si>
  <si>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</si>
  <si>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cm</t>
  </si>
  <si>
    <t>inch</t>
  </si>
  <si>
    <t>Estimated Surface Storage (m3)</t>
  </si>
  <si>
    <t>Vegetation Void Space</t>
  </si>
  <si>
    <t>Hide</t>
  </si>
  <si>
    <t>Texture</t>
  </si>
  <si>
    <t>Saturated Hydraulic Conductivity (mm/hr)</t>
  </si>
  <si>
    <t>Porosity (volume fraction)</t>
  </si>
  <si>
    <t>Field Capacity</t>
  </si>
  <si>
    <t>Sandy Loam</t>
  </si>
  <si>
    <t>Estimated Total Storage (m3)</t>
  </si>
  <si>
    <t>A</t>
  </si>
  <si>
    <t>B</t>
  </si>
  <si>
    <t>Estimated Soil Storage - Rectangular Prism (m3)</t>
  </si>
  <si>
    <t>Soil Depth (mm)</t>
  </si>
  <si>
    <t xml:space="preserve">Components: </t>
  </si>
  <si>
    <t>Absorbent Landscaping Sizing Tool</t>
  </si>
  <si>
    <t>Surface Width of Absorbent Landscaping (m)</t>
  </si>
  <si>
    <t>Surface Length of Absorbent Landscaping (m)</t>
  </si>
  <si>
    <t>Depression (mm)</t>
  </si>
  <si>
    <t>Bottom Width of Absorbent Landscaping Ponding (m)</t>
  </si>
  <si>
    <t>Bottom Length of Absorbent Landscaping Ponding (m)</t>
  </si>
  <si>
    <t>Estimated Storage of Absorbent Landscaping (L)</t>
  </si>
  <si>
    <t>Recommend a 25-50 mm depression, if possible, considering your site layout.</t>
  </si>
  <si>
    <t>Absorbent Landscaping Sizing Tool Assumptions</t>
  </si>
  <si>
    <t>cu.m</t>
  </si>
  <si>
    <t>cu.yd</t>
  </si>
  <si>
    <t>cu.ft</t>
  </si>
  <si>
    <t>L</t>
  </si>
  <si>
    <t>Material Amount</t>
  </si>
  <si>
    <t>Based on the information entered, here's an estimate of how much material you'll need:</t>
  </si>
  <si>
    <t>Soil</t>
  </si>
  <si>
    <t>cubic yard(s)</t>
  </si>
  <si>
    <t>Preferred side slope is 4:1, maximum 3:1. If no side slope, set as 0.</t>
  </si>
  <si>
    <t>How to Use This Tool</t>
  </si>
  <si>
    <r>
      <t>Surface Area of Absorbent Landscaping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</si>
  <si>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Roof, patio, or other hard surface area directed to your project.</t>
  </si>
  <si>
    <t>Surface Side Slope of Depression (H:V=1)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</si>
  <si>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</si>
  <si>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</si>
  <si>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>Estimated Runoff (L)</t>
  </si>
  <si>
    <t>The value shown is based on a 18 mm rainfall.</t>
  </si>
  <si>
    <t>1. Find the column heading of the unit you want to convert from.</t>
  </si>
  <si>
    <t>2. Enter the measurement value into the blue editable cell within that column.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</si>
  <si>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</si>
  <si>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</si>
  <si>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</si>
  <si>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r>
      <t>Rainfall Event Basis</t>
    </r>
    <r>
      <rPr>
        <sz val="12"/>
        <color rgb="FF000000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</si>
  <si>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rgb="FF000000"/>
        <rFont val="Arial"/>
        <family val="2"/>
        <scheme val="minor"/>
      </rPr>
      <t>: The runoff coefficient is calculated as 0.95, assuming 100% imperviousness. The formula used is: C=0.95*imp+0.1(1.0-imp).</t>
    </r>
  </si>
  <si>
    <r>
      <t xml:space="preserve">Runoff: </t>
    </r>
    <r>
      <rPr>
        <sz val="12"/>
        <color theme="1"/>
        <rFont val="Arial"/>
        <family val="2"/>
        <scheme val="minor"/>
      </rPr>
      <t>Calculation considers runoff from the directly connected impervious area (DCIA) and rainfall falling directly onto the surface of the absorbent landscaping.</t>
    </r>
  </si>
  <si>
    <r>
      <rPr>
        <b/>
        <sz val="12"/>
        <color theme="1"/>
        <rFont val="Arial"/>
        <family val="2"/>
        <scheme val="minor"/>
      </rPr>
      <t>Plants:</t>
    </r>
    <r>
      <rPr>
        <sz val="12"/>
        <color theme="1"/>
        <rFont val="Arial"/>
        <family val="2"/>
        <scheme val="minor"/>
      </rPr>
      <t xml:space="preserve"> Assumed vegetated surface of absorbent landscaping, with 90% void space. </t>
    </r>
  </si>
  <si>
    <r>
      <t xml:space="preserve">Soil: </t>
    </r>
    <r>
      <rPr>
        <sz val="12"/>
        <color rgb="FF000000"/>
        <rFont val="Arial"/>
        <family val="2"/>
        <scheme val="minor"/>
      </rPr>
      <t>Assumed to be a sandy loam with a porosity of 0.35 and a field capacity of 0.16.</t>
    </r>
  </si>
  <si>
    <t>Unit Conversion</t>
  </si>
  <si>
    <t>Steps to Use</t>
  </si>
  <si>
    <t xml:space="preserve">Recommend 300-450 mm depth.
</t>
  </si>
  <si>
    <t>3. Click the orange box on the right to access unit conversion tables that convert measurements and outputs to desired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</si>
</sst>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vertAlign val="superscript"/>
      <sz val="12"/>
      <color theme="3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3F3F3F"/>
      <name val="Arial"/>
      <family val="2"/>
      <scheme val="minor"/>
    </font>
    <font>
      <i/>
      <sz val="12"/>
      <color theme="2" tint="-0.89999084444715716"/>
      <name val="Arial"/>
      <family val="2"/>
    </font>
    <font>
      <b/>
      <sz val="22"/>
      <color theme="2" tint="-0.899990844447157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2" fillId="8" borderId="5" applyNumberFormat="0" applyAlignment="0" applyProtection="0"/>
  </cellStyleXfs>
  <cellXfs count="47">
    <xf numFmtId="0" fontId="0" fillId="0" borderId="0" xfId="0"/>
    <xf numFmtId="0" fontId="3" fillId="0" borderId="0" xfId="0" applyFont="1"/>
    <xf numFmtId="0" fontId="4" fillId="5" borderId="0" xfId="0" applyFont="1" applyFill="1"/>
    <xf numFmtId="0" fontId="2" fillId="0" borderId="0" xfId="2" applyFill="1" applyAlignment="1">
      <alignment horizontal="right"/>
    </xf>
    <xf numFmtId="0" fontId="5" fillId="0" borderId="0" xfId="2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0" xfId="0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left"/>
    </xf>
    <xf numFmtId="0" fontId="5" fillId="0" borderId="0" xfId="2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3" borderId="1" xfId="4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9" fontId="8" fillId="3" borderId="2" xfId="4" applyNumberFormat="1" applyFont="1" applyBorder="1" applyAlignment="1">
      <alignment horizontal="center" vertical="center"/>
    </xf>
    <xf numFmtId="2" fontId="8" fillId="3" borderId="2" xfId="4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wrapText="1"/>
    </xf>
    <xf numFmtId="4" fontId="5" fillId="4" borderId="2" xfId="5" applyNumberFormat="1" applyFont="1" applyBorder="1" applyAlignment="1">
      <alignment horizontal="center" vertical="center"/>
    </xf>
    <xf numFmtId="9" fontId="7" fillId="6" borderId="2" xfId="0" applyNumberFormat="1" applyFont="1" applyFill="1" applyBorder="1" applyAlignment="1">
      <alignment horizontal="center"/>
    </xf>
    <xf numFmtId="164" fontId="8" fillId="7" borderId="0" xfId="4" applyNumberFormat="1" applyFont="1" applyFill="1" applyBorder="1" applyAlignment="1"/>
    <xf numFmtId="0" fontId="6" fillId="0" borderId="0" xfId="0" applyFont="1"/>
    <xf numFmtId="0" fontId="11" fillId="0" borderId="0" xfId="0" applyFont="1"/>
    <xf numFmtId="3" fontId="13" fillId="9" borderId="7" xfId="5" applyNumberFormat="1" applyFont="1" applyFill="1" applyBorder="1" applyAlignment="1">
      <alignment horizontal="center"/>
    </xf>
    <xf numFmtId="9" fontId="13" fillId="9" borderId="7" xfId="1" applyFont="1" applyFill="1" applyBorder="1" applyAlignment="1">
      <alignment horizontal="center"/>
    </xf>
    <xf numFmtId="165" fontId="13" fillId="9" borderId="7" xfId="5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165" fontId="14" fillId="9" borderId="7" xfId="5" applyNumberFormat="1" applyFont="1" applyFill="1" applyBorder="1" applyAlignment="1">
      <alignment horizontal="center"/>
    </xf>
    <xf numFmtId="1" fontId="14" fillId="2" borderId="6" xfId="3" applyNumberFormat="1" applyFont="1" applyBorder="1" applyAlignment="1" applyProtection="1">
      <alignment horizontal="center" vertical="center" wrapText="1"/>
      <protection locked="0"/>
    </xf>
    <xf numFmtId="164" fontId="14" fillId="2" borderId="6" xfId="3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1" fontId="14" fillId="2" borderId="7" xfId="3" applyNumberFormat="1" applyFont="1" applyBorder="1" applyAlignment="1" applyProtection="1">
      <alignment horizontal="center"/>
      <protection locked="0"/>
    </xf>
    <xf numFmtId="2" fontId="14" fillId="2" borderId="7" xfId="3" applyNumberFormat="1" applyFont="1" applyBorder="1" applyAlignment="1" applyProtection="1">
      <alignment horizontal="right"/>
      <protection locked="0"/>
    </xf>
    <xf numFmtId="2" fontId="17" fillId="9" borderId="8" xfId="6" applyNumberFormat="1" applyFont="1" applyFill="1" applyBorder="1" applyAlignment="1">
      <alignment horizontal="right"/>
    </xf>
    <xf numFmtId="2" fontId="17" fillId="9" borderId="5" xfId="6" applyNumberFormat="1" applyFont="1" applyFill="1" applyAlignment="1">
      <alignment horizontal="right"/>
    </xf>
    <xf numFmtId="2" fontId="17" fillId="9" borderId="9" xfId="6" applyNumberFormat="1" applyFont="1" applyFill="1" applyBorder="1" applyAlignment="1">
      <alignment horizontal="right"/>
    </xf>
    <xf numFmtId="0" fontId="18" fillId="0" borderId="0" xfId="0" applyFont="1"/>
    <xf numFmtId="0" fontId="19" fillId="5" borderId="0" xfId="0" applyFont="1" applyFill="1"/>
    <xf numFmtId="0" fontId="7" fillId="6" borderId="3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8" fillId="7" borderId="0" xfId="4" applyNumberFormat="1" applyFont="1" applyFill="1" applyBorder="1" applyAlignment="1">
      <alignment horizontal="left"/>
    </xf>
  </cellXfs>
  <cellStyles count="7">
    <cellStyle name="20% - Accent1" xfId="3" builtinId="30"/>
    <cellStyle name="20% - Accent5" xfId="4" builtinId="46"/>
    <cellStyle name="40% - Accent5" xfId="5" builtinId="47"/>
    <cellStyle name="Heading 4" xfId="2" builtinId="19"/>
    <cellStyle name="Normal" xfId="0" builtinId="0"/>
    <cellStyle name="Output" xfId="6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Absorbent Landscape Sizing Too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Absorbent Landscape Sizing Tool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Absorbent Landscape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</xdr:row>
      <xdr:rowOff>6350</xdr:rowOff>
    </xdr:from>
    <xdr:to>
      <xdr:col>14</xdr:col>
      <xdr:colOff>228600</xdr:colOff>
      <xdr:row>7</xdr:row>
      <xdr:rowOff>25401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77600" y="187325"/>
          <a:ext cx="5772150" cy="13430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applicants in sizing their green stormwater management projects. It is provided for guidance purposes only and does not replace site-specific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5</xdr:col>
      <xdr:colOff>444500</xdr:colOff>
      <xdr:row>32</xdr:row>
      <xdr:rowOff>192086</xdr:rowOff>
    </xdr:from>
    <xdr:to>
      <xdr:col>9</xdr:col>
      <xdr:colOff>297815</xdr:colOff>
      <xdr:row>39</xdr:row>
      <xdr:rowOff>124141</xdr:rowOff>
    </xdr:to>
    <xdr:sp macro="" textlink="">
      <xdr:nvSpPr>
        <xdr:cNvPr id="5" name="Flowchart: Alternate Proces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312525" y="4144961"/>
          <a:ext cx="2377440" cy="1094105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5</xdr:col>
      <xdr:colOff>450848</xdr:colOff>
      <xdr:row>40</xdr:row>
      <xdr:rowOff>146049</xdr:rowOff>
    </xdr:from>
    <xdr:to>
      <xdr:col>9</xdr:col>
      <xdr:colOff>304163</xdr:colOff>
      <xdr:row>46</xdr:row>
      <xdr:rowOff>135254</xdr:rowOff>
    </xdr:to>
    <xdr:sp macro="" textlink="">
      <xdr:nvSpPr>
        <xdr:cNvPr id="6" name="Flowchart: Alternate Proces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318873" y="5441949"/>
          <a:ext cx="2377440" cy="1094105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0</xdr:col>
      <xdr:colOff>247649</xdr:colOff>
      <xdr:row>2</xdr:row>
      <xdr:rowOff>114300</xdr:rowOff>
    </xdr:from>
    <xdr:to>
      <xdr:col>5</xdr:col>
      <xdr:colOff>123825</xdr:colOff>
      <xdr:row>36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7649" y="647700"/>
          <a:ext cx="10744201" cy="41243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409575</xdr:colOff>
      <xdr:row>9</xdr:row>
      <xdr:rowOff>114301</xdr:rowOff>
    </xdr:from>
    <xdr:to>
      <xdr:col>14</xdr:col>
      <xdr:colOff>485776</xdr:colOff>
      <xdr:row>16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77600" y="1819276"/>
          <a:ext cx="6029326" cy="771524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447675</xdr:colOff>
      <xdr:row>17</xdr:row>
      <xdr:rowOff>114299</xdr:rowOff>
    </xdr:from>
    <xdr:to>
      <xdr:col>9</xdr:col>
      <xdr:colOff>300990</xdr:colOff>
      <xdr:row>26</xdr:row>
      <xdr:rowOff>192404</xdr:rowOff>
    </xdr:to>
    <xdr:sp macro="" textlink="">
      <xdr:nvSpPr>
        <xdr:cNvPr id="10" name="Rounded Rectangl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15700" y="2847974"/>
          <a:ext cx="2377440" cy="1097280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CA" sz="1200"/>
            <a:t>Visit</a:t>
          </a:r>
          <a:r>
            <a:rPr lang="en-CA" sz="1200" baseline="0"/>
            <a:t> </a:t>
          </a:r>
          <a:r>
            <a:rPr lang="en-CA" sz="1200" u="sng">
              <a:solidFill>
                <a:schemeClr val="accent5"/>
              </a:solidFill>
            </a:rPr>
            <a:t>epcor.com</a:t>
          </a:r>
          <a:r>
            <a:rPr lang="en-CA" sz="1200" u="none" baseline="0">
              <a:solidFill>
                <a:schemeClr val="accent5"/>
              </a:solidFill>
            </a:rPr>
            <a:t> </a:t>
          </a:r>
          <a:r>
            <a:rPr lang="en-CA" sz="1200" baseline="0"/>
            <a:t>for more information on project requirements and how to determine directly connected impervious area (DCIA).</a:t>
          </a:r>
          <a:endParaRPr lang="en-CA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95250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76530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462325</xdr:colOff>
      <xdr:row>5</xdr:row>
      <xdr:rowOff>77460</xdr:rowOff>
    </xdr:from>
    <xdr:to>
      <xdr:col>9</xdr:col>
      <xdr:colOff>531506</xdr:colOff>
      <xdr:row>35</xdr:row>
      <xdr:rowOff>95841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1118643" y="961924"/>
          <a:ext cx="5291149" cy="5325167"/>
          <a:chOff x="1204371" y="515685"/>
          <a:chExt cx="5541727" cy="5473608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/>
        </xdr:nvGrpSpPr>
        <xdr:grpSpPr>
          <a:xfrm>
            <a:off x="1204371" y="515685"/>
            <a:ext cx="5541727" cy="5473608"/>
            <a:chOff x="1201807" y="510485"/>
            <a:chExt cx="5568833" cy="5484903"/>
          </a:xfrm>
        </xdr:grpSpPr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201807" y="510485"/>
              <a:ext cx="5568833" cy="5484903"/>
            </a:xfrm>
            <a:prstGeom prst="rect">
              <a:avLst/>
            </a:prstGeom>
          </xdr:spPr>
        </xdr:pic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>
              <a:off x="1844813" y="4599885"/>
              <a:ext cx="4105689" cy="0"/>
            </a:xfrm>
            <a:prstGeom prst="line">
              <a:avLst/>
            </a:prstGeom>
            <a:ln w="12700">
              <a:solidFill>
                <a:schemeClr val="tx1">
                  <a:lumMod val="95000"/>
                  <a:lumOff val="5000"/>
                </a:schemeClr>
              </a:solidFill>
              <a:prstDash val="lg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Right Triangle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>
            <a:xfrm>
              <a:off x="2114703" y="4636015"/>
              <a:ext cx="503839" cy="154189"/>
            </a:xfrm>
            <a:prstGeom prst="rtTriangle">
              <a:avLst/>
            </a:prstGeom>
            <a:noFill/>
            <a:ln w="1905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182211" y="4756005"/>
              <a:ext cx="393682" cy="24505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>
                  <a:solidFill>
                    <a:schemeClr val="bg1"/>
                  </a:solidFill>
                </a:rPr>
                <a:t>H</a:t>
              </a:r>
              <a:endParaRPr lang="en-CA" sz="1200" baseline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1667566" y="4588145"/>
              <a:ext cx="558249" cy="2450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>
                  <a:solidFill>
                    <a:schemeClr val="bg1"/>
                  </a:solidFill>
                </a:rPr>
                <a:t>V=1</a:t>
              </a:r>
              <a:endParaRPr lang="en-CA" sz="1200" baseline="0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/>
        </xdr:nvGrpSpPr>
        <xdr:grpSpPr>
          <a:xfrm>
            <a:off x="3452091" y="4553333"/>
            <a:ext cx="1268542" cy="260637"/>
            <a:chOff x="3452091" y="4553333"/>
            <a:chExt cx="1268542" cy="260637"/>
          </a:xfrm>
        </xdr:grpSpPr>
        <xdr:cxnSp macro="">
          <xdr:nvCxnSpPr>
            <xdr:cNvPr id="7" name="Straight Arrow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/>
          </xdr:nvCxnSpPr>
          <xdr:spPr>
            <a:xfrm>
              <a:off x="3452091" y="4590473"/>
              <a:ext cx="0" cy="223497"/>
            </a:xfrm>
            <a:prstGeom prst="straightConnector1">
              <a:avLst/>
            </a:prstGeom>
            <a:ln w="19050">
              <a:solidFill>
                <a:schemeClr val="tx1">
                  <a:lumMod val="95000"/>
                  <a:lumOff val="5000"/>
                </a:schemeClr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3511260" y="4553333"/>
              <a:ext cx="1209373" cy="24467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>
                  <a:solidFill>
                    <a:schemeClr val="tx1"/>
                  </a:solidFill>
                </a:rPr>
                <a:t>depression</a:t>
              </a:r>
              <a:endParaRPr lang="en-CA" sz="1200" baseline="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173934</xdr:colOff>
      <xdr:row>0</xdr:row>
      <xdr:rowOff>165653</xdr:rowOff>
    </xdr:from>
    <xdr:to>
      <xdr:col>2</xdr:col>
      <xdr:colOff>627821</xdr:colOff>
      <xdr:row>4</xdr:row>
      <xdr:rowOff>76863</xdr:rowOff>
    </xdr:to>
    <xdr:sp macro="" textlink="">
      <xdr:nvSpPr>
        <xdr:cNvPr id="9" name="Flowchart: Alternate Proces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73934" y="165653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  <xdr:twoCellAnchor>
    <xdr:from>
      <xdr:col>10</xdr:col>
      <xdr:colOff>491670</xdr:colOff>
      <xdr:row>5</xdr:row>
      <xdr:rowOff>126999</xdr:rowOff>
    </xdr:from>
    <xdr:to>
      <xdr:col>15</xdr:col>
      <xdr:colOff>185963</xdr:colOff>
      <xdr:row>16</xdr:row>
      <xdr:rowOff>40822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AD8D6B-FEAE-43A2-2F6B-DC99E2E2B44D}"/>
            </a:ext>
          </a:extLst>
        </xdr:cNvPr>
        <xdr:cNvSpPr txBox="1"/>
      </xdr:nvSpPr>
      <xdr:spPr>
        <a:xfrm>
          <a:off x="7113813" y="1034142"/>
          <a:ext cx="3005364" cy="1909537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Note</a:t>
          </a:r>
          <a:r>
            <a:rPr lang="en-US" sz="1400" baseline="0"/>
            <a:t> that t</a:t>
          </a:r>
          <a:r>
            <a:rPr lang="en-US" sz="1400"/>
            <a:t>he</a:t>
          </a:r>
          <a:r>
            <a:rPr lang="en-US" sz="1400" baseline="0"/>
            <a:t> r</a:t>
          </a:r>
          <a:r>
            <a:rPr lang="en-US" sz="1400"/>
            <a:t>eference</a:t>
          </a:r>
          <a:r>
            <a:rPr lang="en-US" sz="1400" baseline="0"/>
            <a:t> </a:t>
          </a:r>
          <a:r>
            <a:rPr lang="en-US" sz="1400"/>
            <a:t>illustration may</a:t>
          </a:r>
          <a:r>
            <a:rPr lang="en-US" sz="1400" baseline="0"/>
            <a:t> not represent a suitable configuration for your specific property. Applicants are responsbile for ensuring the project is designed and installed considering the unique conditions of their property.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19050</xdr:rowOff>
    </xdr:from>
    <xdr:to>
      <xdr:col>6</xdr:col>
      <xdr:colOff>523875</xdr:colOff>
      <xdr:row>3</xdr:row>
      <xdr:rowOff>125730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229725" y="200025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41"/>
  <sheetViews>
    <sheetView showGridLines="0" tabSelected="1" workbookViewId="0">
      <selection activeCell="D11" sqref="D11"/>
    </sheetView>
  </sheetViews>
  <sheetFormatPr defaultColWidth="9" defaultRowHeight="14" x14ac:dyDescent="0.3"/>
  <cols>
    <col min="1" max="1" width="5.33203125" style="1" customWidth="1"/>
    <col min="2" max="2" width="5.33203125" style="1" hidden="1" customWidth="1"/>
    <col min="3" max="3" width="46" style="1" bestFit="1" customWidth="1"/>
    <col min="4" max="4" width="21.25" style="1" customWidth="1"/>
    <col min="5" max="5" width="70" style="1" bestFit="1" customWidth="1"/>
    <col min="6" max="6" width="6.08203125" style="1" customWidth="1"/>
    <col min="7" max="16384" width="9" style="1"/>
  </cols>
  <sheetData>
    <row r="2" spans="3:11" ht="28" x14ac:dyDescent="0.6">
      <c r="C2" s="40" t="s">
        <v>26</v>
      </c>
    </row>
    <row r="3" spans="3:11" ht="15.5" x14ac:dyDescent="0.35">
      <c r="C3" s="3"/>
      <c r="D3" s="13"/>
      <c r="E3" s="8"/>
      <c r="F3" s="6"/>
      <c r="G3" s="9"/>
    </row>
    <row r="4" spans="3:11" ht="15.5" x14ac:dyDescent="0.35">
      <c r="C4" s="9" t="s">
        <v>44</v>
      </c>
      <c r="D4" s="22"/>
      <c r="E4" s="22"/>
      <c r="F4" s="22"/>
      <c r="G4"/>
      <c r="H4"/>
      <c r="I4"/>
      <c r="J4"/>
      <c r="K4" s="22"/>
    </row>
    <row r="5" spans="3:11" ht="15.5" x14ac:dyDescent="0.35">
      <c r="C5" s="27" t="s">
        <v>48</v>
      </c>
      <c r="D5" s="22"/>
      <c r="E5" s="22"/>
      <c r="F5" s="22"/>
      <c r="G5" s="22"/>
      <c r="H5" s="22"/>
      <c r="I5" s="22"/>
      <c r="J5" s="22"/>
      <c r="K5" s="22"/>
    </row>
    <row r="6" spans="3:11" ht="15.65" customHeight="1" x14ac:dyDescent="0.35">
      <c r="C6" s="27" t="s">
        <v>49</v>
      </c>
      <c r="D6" s="22"/>
      <c r="E6" s="22"/>
      <c r="F6" s="22"/>
      <c r="G6" s="22"/>
      <c r="H6" s="22"/>
      <c r="I6" s="22"/>
      <c r="J6" s="22"/>
      <c r="K6" s="22"/>
    </row>
    <row r="7" spans="3:11" ht="15.5" x14ac:dyDescent="0.35">
      <c r="C7" s="27" t="s">
        <v>65</v>
      </c>
      <c r="D7" s="22"/>
      <c r="E7" s="22"/>
      <c r="F7" s="22"/>
      <c r="G7" s="22"/>
      <c r="H7" s="22"/>
      <c r="I7" s="22"/>
      <c r="J7" s="22"/>
      <c r="K7" s="22"/>
    </row>
    <row r="8" spans="3:11" ht="15.5" x14ac:dyDescent="0.35">
      <c r="C8" s="3"/>
      <c r="D8" s="13"/>
      <c r="E8" s="8"/>
      <c r="F8" s="6"/>
      <c r="G8" s="9"/>
    </row>
    <row r="9" spans="3:11" ht="15.5" hidden="1" x14ac:dyDescent="0.35">
      <c r="C9" s="4" t="s">
        <v>5</v>
      </c>
      <c r="D9" s="12">
        <v>18</v>
      </c>
      <c r="E9" s="6" t="s">
        <v>14</v>
      </c>
    </row>
    <row r="10" spans="3:11" ht="15.5" x14ac:dyDescent="0.35">
      <c r="C10" s="3"/>
      <c r="D10" s="13"/>
      <c r="E10" s="8" t="s">
        <v>7</v>
      </c>
      <c r="F10" s="6"/>
      <c r="G10" s="9"/>
    </row>
    <row r="11" spans="3:11" ht="15.65" customHeight="1" x14ac:dyDescent="0.35">
      <c r="C11" s="10" t="s">
        <v>9</v>
      </c>
      <c r="D11" s="31">
        <v>50</v>
      </c>
      <c r="E11" s="15" t="s">
        <v>46</v>
      </c>
      <c r="F11" s="6"/>
      <c r="G11" s="9" t="s">
        <v>39</v>
      </c>
    </row>
    <row r="12" spans="3:11" ht="15.65" hidden="1" customHeight="1" x14ac:dyDescent="0.35">
      <c r="C12" s="10" t="s">
        <v>1</v>
      </c>
      <c r="D12" s="16">
        <v>1</v>
      </c>
      <c r="E12" s="15" t="s">
        <v>14</v>
      </c>
      <c r="F12" s="5"/>
    </row>
    <row r="13" spans="3:11" ht="15.65" hidden="1" customHeight="1" x14ac:dyDescent="0.35">
      <c r="C13" s="10" t="s">
        <v>2</v>
      </c>
      <c r="D13" s="17">
        <f>0.95*D12+0.1*(1-D12)</f>
        <v>0.95</v>
      </c>
      <c r="E13" s="15" t="s">
        <v>14</v>
      </c>
      <c r="F13" s="5"/>
    </row>
    <row r="14" spans="3:11" ht="15.65" hidden="1" customHeight="1" x14ac:dyDescent="0.35">
      <c r="C14" s="10" t="s">
        <v>6</v>
      </c>
      <c r="D14" s="17">
        <f>D11*D13*(D9/1000)+(D19*(D9/1000))</f>
        <v>1.143</v>
      </c>
      <c r="E14" s="15" t="s">
        <v>14</v>
      </c>
      <c r="F14" s="5"/>
    </row>
    <row r="15" spans="3:11" ht="15.65" customHeight="1" x14ac:dyDescent="0.35">
      <c r="C15" s="10" t="s">
        <v>50</v>
      </c>
      <c r="D15" s="24">
        <f>D14*1000</f>
        <v>1143</v>
      </c>
      <c r="E15" s="15" t="s">
        <v>51</v>
      </c>
      <c r="F15" s="5"/>
      <c r="G15" s="39" t="s">
        <v>40</v>
      </c>
    </row>
    <row r="16" spans="3:11" ht="15.65" customHeight="1" x14ac:dyDescent="0.35">
      <c r="C16" s="10"/>
      <c r="D16" s="14"/>
      <c r="E16" s="7"/>
      <c r="F16" s="5"/>
      <c r="G16" s="46" t="s">
        <v>41</v>
      </c>
      <c r="H16" s="30">
        <f>D23*D24*(D27/1000)*1.30795</f>
        <v>5.6660393999999998</v>
      </c>
      <c r="I16" s="21" t="s">
        <v>42</v>
      </c>
    </row>
    <row r="17" spans="2:12" ht="15.5" x14ac:dyDescent="0.35">
      <c r="B17" s="1" t="s">
        <v>21</v>
      </c>
      <c r="C17" s="10" t="s">
        <v>27</v>
      </c>
      <c r="D17" s="32">
        <v>4</v>
      </c>
      <c r="E17" s="15"/>
      <c r="F17" s="5"/>
      <c r="G17" s="27"/>
    </row>
    <row r="18" spans="2:12" ht="15.5" x14ac:dyDescent="0.35">
      <c r="B18" s="1" t="s">
        <v>21</v>
      </c>
      <c r="C18" s="10" t="s">
        <v>28</v>
      </c>
      <c r="D18" s="32">
        <v>4</v>
      </c>
      <c r="E18" s="15"/>
      <c r="F18" s="5"/>
      <c r="G18" s="27"/>
    </row>
    <row r="19" spans="2:12" ht="17.5" x14ac:dyDescent="0.35">
      <c r="C19" s="10" t="s">
        <v>45</v>
      </c>
      <c r="D19" s="26">
        <f>D17*D18</f>
        <v>16</v>
      </c>
      <c r="E19" s="15"/>
      <c r="F19" s="5"/>
    </row>
    <row r="20" spans="2:12" ht="15.5" x14ac:dyDescent="0.35">
      <c r="C20" s="11"/>
      <c r="D20" s="33"/>
      <c r="E20"/>
      <c r="F20" s="5"/>
      <c r="G20"/>
      <c r="H20"/>
      <c r="I20"/>
      <c r="J20"/>
      <c r="K20"/>
      <c r="L20"/>
    </row>
    <row r="21" spans="2:12" ht="15.5" customHeight="1" x14ac:dyDescent="0.35">
      <c r="C21" s="42" t="s">
        <v>29</v>
      </c>
      <c r="D21" s="31">
        <v>25</v>
      </c>
      <c r="E21" s="41" t="s">
        <v>33</v>
      </c>
      <c r="F21" s="5"/>
      <c r="G21"/>
      <c r="H21"/>
      <c r="I21"/>
      <c r="J21"/>
      <c r="K21"/>
      <c r="L21"/>
    </row>
    <row r="22" spans="2:12" ht="15.65" customHeight="1" x14ac:dyDescent="0.35">
      <c r="C22" s="10" t="s">
        <v>47</v>
      </c>
      <c r="D22" s="34">
        <v>4</v>
      </c>
      <c r="E22" s="18" t="s">
        <v>43</v>
      </c>
      <c r="F22" s="5"/>
      <c r="G22"/>
      <c r="H22"/>
      <c r="I22"/>
      <c r="J22"/>
      <c r="K22"/>
      <c r="L22"/>
    </row>
    <row r="23" spans="2:12" ht="15.5" hidden="1" x14ac:dyDescent="0.35">
      <c r="B23" s="1" t="s">
        <v>22</v>
      </c>
      <c r="C23" s="10" t="s">
        <v>30</v>
      </c>
      <c r="D23" s="31">
        <f>(D17-(2*D22*(D21/1000)))</f>
        <v>3.8</v>
      </c>
      <c r="E23" s="15" t="s">
        <v>14</v>
      </c>
      <c r="F23" s="5"/>
      <c r="G23"/>
      <c r="H23"/>
      <c r="I23"/>
      <c r="J23"/>
      <c r="K23"/>
      <c r="L23"/>
    </row>
    <row r="24" spans="2:12" ht="15.5" hidden="1" x14ac:dyDescent="0.35">
      <c r="B24" s="1" t="s">
        <v>22</v>
      </c>
      <c r="C24" s="10" t="s">
        <v>31</v>
      </c>
      <c r="D24" s="31">
        <f>(D18-(2*D22*(D21/1000)))</f>
        <v>3.8</v>
      </c>
      <c r="E24" s="15" t="s">
        <v>14</v>
      </c>
      <c r="F24" s="5"/>
      <c r="G24"/>
      <c r="H24"/>
      <c r="I24"/>
      <c r="J24"/>
      <c r="K24"/>
      <c r="L24"/>
    </row>
    <row r="25" spans="2:12" ht="15.5" hidden="1" x14ac:dyDescent="0.35">
      <c r="C25" s="10" t="s">
        <v>13</v>
      </c>
      <c r="D25" s="31">
        <v>0.9</v>
      </c>
      <c r="E25" s="15" t="s">
        <v>14</v>
      </c>
      <c r="F25" s="5"/>
      <c r="G25"/>
      <c r="H25"/>
      <c r="I25"/>
      <c r="J25"/>
      <c r="K25"/>
      <c r="L25"/>
    </row>
    <row r="26" spans="2:12" ht="15.5" hidden="1" x14ac:dyDescent="0.35">
      <c r="C26" s="10" t="s">
        <v>12</v>
      </c>
      <c r="D26" s="31">
        <f>((D17+D23)/2)*((D18+D24)/2)*(D21/1000)*D25</f>
        <v>0.342225</v>
      </c>
      <c r="E26" s="15" t="s">
        <v>14</v>
      </c>
      <c r="F26" s="5"/>
      <c r="G26"/>
      <c r="H26"/>
      <c r="I26"/>
      <c r="J26"/>
      <c r="K26"/>
      <c r="L26"/>
    </row>
    <row r="27" spans="2:12" ht="15.65" customHeight="1" x14ac:dyDescent="0.35">
      <c r="C27" s="10" t="s">
        <v>24</v>
      </c>
      <c r="D27" s="34">
        <v>300</v>
      </c>
      <c r="E27" s="43" t="s">
        <v>64</v>
      </c>
      <c r="F27" s="5"/>
      <c r="G27"/>
      <c r="H27"/>
      <c r="I27"/>
      <c r="J27"/>
      <c r="K27"/>
      <c r="L27"/>
    </row>
    <row r="28" spans="2:12" ht="15.75" hidden="1" customHeight="1" x14ac:dyDescent="0.35">
      <c r="C28" s="10" t="s">
        <v>15</v>
      </c>
      <c r="D28" s="17" t="s">
        <v>19</v>
      </c>
      <c r="E28" s="15" t="s">
        <v>14</v>
      </c>
      <c r="F28" s="5"/>
      <c r="G28"/>
      <c r="H28"/>
      <c r="I28"/>
      <c r="J28"/>
      <c r="K28"/>
      <c r="L28"/>
    </row>
    <row r="29" spans="2:12" ht="15.75" hidden="1" customHeight="1" x14ac:dyDescent="0.35">
      <c r="C29" s="10" t="s">
        <v>16</v>
      </c>
      <c r="D29" s="17">
        <f>IF(D28="Sandy Loam",15,30)</f>
        <v>15</v>
      </c>
      <c r="E29" s="15" t="s">
        <v>14</v>
      </c>
      <c r="F29" s="5"/>
      <c r="G29"/>
      <c r="H29"/>
      <c r="I29"/>
      <c r="J29"/>
      <c r="K29"/>
      <c r="L29"/>
    </row>
    <row r="30" spans="2:12" ht="15.75" hidden="1" customHeight="1" x14ac:dyDescent="0.35">
      <c r="C30" s="10" t="s">
        <v>17</v>
      </c>
      <c r="D30" s="17">
        <f>IF(D28="Sandy Loam",0.35,0.3)</f>
        <v>0.35</v>
      </c>
      <c r="E30" s="15" t="s">
        <v>14</v>
      </c>
      <c r="F30" s="5"/>
      <c r="G30"/>
      <c r="H30"/>
      <c r="I30"/>
      <c r="J30"/>
      <c r="K30"/>
      <c r="L30"/>
    </row>
    <row r="31" spans="2:12" ht="15.75" hidden="1" customHeight="1" x14ac:dyDescent="0.35">
      <c r="C31" s="10" t="s">
        <v>18</v>
      </c>
      <c r="D31" s="17">
        <f>IF(D28="Sandy Loam",0.16,0.105)</f>
        <v>0.16</v>
      </c>
      <c r="E31" s="15" t="s">
        <v>14</v>
      </c>
      <c r="F31" s="5"/>
      <c r="G31"/>
      <c r="H31"/>
      <c r="I31"/>
      <c r="J31"/>
      <c r="K31"/>
      <c r="L31"/>
    </row>
    <row r="32" spans="2:12" ht="15.75" hidden="1" customHeight="1" x14ac:dyDescent="0.35">
      <c r="C32" s="10" t="s">
        <v>23</v>
      </c>
      <c r="D32" s="17">
        <f>D19*(D27/1000)*(D30-D31)</f>
        <v>0.91199999999999981</v>
      </c>
      <c r="E32" s="15" t="s">
        <v>14</v>
      </c>
      <c r="F32" s="5"/>
      <c r="G32"/>
      <c r="H32"/>
      <c r="I32"/>
      <c r="J32"/>
      <c r="K32"/>
      <c r="L32"/>
    </row>
    <row r="33" spans="3:12" customFormat="1" ht="15.5" x14ac:dyDescent="0.35">
      <c r="D33" s="22"/>
    </row>
    <row r="34" spans="3:12" ht="15.5" hidden="1" x14ac:dyDescent="0.35">
      <c r="C34" s="10" t="s">
        <v>20</v>
      </c>
      <c r="D34" s="19">
        <f>D32+D26</f>
        <v>1.2542249999999999</v>
      </c>
      <c r="E34" s="15" t="s">
        <v>14</v>
      </c>
      <c r="F34" s="5"/>
      <c r="G34"/>
      <c r="H34"/>
      <c r="I34"/>
      <c r="J34"/>
      <c r="K34"/>
      <c r="L34"/>
    </row>
    <row r="35" spans="3:12" ht="15.65" customHeight="1" x14ac:dyDescent="0.35">
      <c r="C35" s="10" t="s">
        <v>32</v>
      </c>
      <c r="D35" s="24">
        <f>D34*1000</f>
        <v>1254.2249999999999</v>
      </c>
      <c r="E35" s="15"/>
      <c r="F35" s="5"/>
      <c r="G35"/>
      <c r="H35"/>
      <c r="I35"/>
      <c r="J35"/>
      <c r="K35"/>
      <c r="L35"/>
    </row>
    <row r="36" spans="3:12" ht="15.65" customHeight="1" x14ac:dyDescent="0.35">
      <c r="C36" s="4" t="s">
        <v>4</v>
      </c>
      <c r="D36" s="25">
        <f>D35/D15</f>
        <v>1.0973097112860892</v>
      </c>
      <c r="E36" s="20" t="s">
        <v>8</v>
      </c>
      <c r="F36" s="5"/>
      <c r="G36"/>
      <c r="H36"/>
      <c r="I36"/>
      <c r="J36"/>
      <c r="K36"/>
      <c r="L36"/>
    </row>
    <row r="37" spans="3:12" ht="15.5" x14ac:dyDescent="0.35">
      <c r="F37" s="5"/>
      <c r="G37"/>
      <c r="H37"/>
      <c r="I37"/>
      <c r="J37"/>
      <c r="K37"/>
      <c r="L37"/>
    </row>
    <row r="38" spans="3:12" x14ac:dyDescent="0.3">
      <c r="G38"/>
      <c r="H38"/>
      <c r="I38"/>
      <c r="J38"/>
      <c r="K38"/>
      <c r="L38"/>
    </row>
    <row r="39" spans="3:12" x14ac:dyDescent="0.3">
      <c r="G39"/>
      <c r="H39"/>
      <c r="I39"/>
      <c r="J39"/>
      <c r="K39"/>
      <c r="L39"/>
    </row>
    <row r="41" spans="3:12" ht="15.65" customHeight="1" x14ac:dyDescent="0.6">
      <c r="C41" s="2"/>
    </row>
  </sheetData>
  <sheetProtection algorithmName="SHA-512" hashValue="5Z54e+MIfJ0uxfO2EAAsXROiojUMawzV2rElUMzbsHmqdllbYiIfVHnURpFt/NkiVgKLVCa6DkIqXUAXE2NzDA==" saltValue="LBAvlC7f91Qf/BfFe2S2kw==" spinCount="100000" sheet="1" objects="1" scenarios="1" selectLockedCells="1"/>
  <dataValidations count="2">
    <dataValidation type="list" allowBlank="1" showInputMessage="1" showErrorMessage="1" sqref="D28" xr:uid="{00000000-0002-0000-0000-000000000000}">
      <formula1>"Sandy Loam, Loam Sand"</formula1>
    </dataValidation>
    <dataValidation type="decimal" operator="greaterThanOrEqual" allowBlank="1" showInputMessage="1" showErrorMessage="1" error="Please enter a number that is 0 or greater." sqref="D11 D17:D18 D21 D22:D27" xr:uid="{00000000-0002-0000-00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K33"/>
  <sheetViews>
    <sheetView showGridLines="0" showRowColHeaders="0" workbookViewId="0">
      <selection activeCell="B12" sqref="B12"/>
    </sheetView>
  </sheetViews>
  <sheetFormatPr defaultRowHeight="14" x14ac:dyDescent="0.3"/>
  <cols>
    <col min="1" max="1" width="5.25" customWidth="1"/>
  </cols>
  <sheetData>
    <row r="2" spans="2:11" ht="28" x14ac:dyDescent="0.6">
      <c r="B2" s="40" t="s">
        <v>62</v>
      </c>
      <c r="C2" s="1"/>
      <c r="D2" s="1"/>
      <c r="E2" s="1"/>
      <c r="F2" s="1"/>
      <c r="G2" s="1"/>
      <c r="H2" s="1"/>
      <c r="I2" s="1"/>
      <c r="J2" s="1"/>
      <c r="K2" s="1"/>
    </row>
    <row r="3" spans="2:11" ht="15.65" customHeight="1" x14ac:dyDescent="0.6">
      <c r="B3" s="40"/>
      <c r="C3" s="1"/>
      <c r="D3" s="1"/>
      <c r="E3" s="1"/>
      <c r="F3" s="1"/>
      <c r="G3" s="1"/>
      <c r="H3" s="1"/>
      <c r="I3" s="1"/>
      <c r="J3" s="1"/>
      <c r="K3" s="1"/>
    </row>
    <row r="4" spans="2:11" ht="15.5" x14ac:dyDescent="0.35">
      <c r="B4" s="9" t="s">
        <v>63</v>
      </c>
      <c r="C4" s="1"/>
      <c r="D4" s="1"/>
      <c r="E4" s="1"/>
      <c r="F4" s="1"/>
      <c r="G4" s="1"/>
      <c r="H4" s="1"/>
      <c r="I4" s="1"/>
      <c r="J4" s="1"/>
      <c r="K4" s="1"/>
    </row>
    <row r="5" spans="2:11" ht="15.5" x14ac:dyDescent="0.35">
      <c r="B5" s="27" t="s">
        <v>52</v>
      </c>
      <c r="C5" s="1"/>
      <c r="D5" s="1"/>
      <c r="E5" s="1"/>
      <c r="F5" s="1"/>
      <c r="G5" s="1"/>
      <c r="H5" s="1"/>
      <c r="I5" s="1"/>
      <c r="J5" s="1"/>
      <c r="K5" s="1"/>
    </row>
    <row r="6" spans="2:11" ht="15.5" x14ac:dyDescent="0.35">
      <c r="B6" s="27" t="s">
        <v>53</v>
      </c>
      <c r="C6" s="1"/>
      <c r="D6" s="1"/>
      <c r="E6" s="1"/>
      <c r="F6" s="1"/>
      <c r="G6" s="1"/>
      <c r="H6" s="1"/>
      <c r="I6" s="1"/>
      <c r="J6" s="1"/>
      <c r="K6" s="1"/>
    </row>
    <row r="7" spans="2:11" ht="15.5" x14ac:dyDescent="0.35">
      <c r="B7" s="27" t="s">
        <v>54</v>
      </c>
      <c r="C7" s="1"/>
      <c r="D7" s="1"/>
      <c r="E7" s="1"/>
      <c r="F7" s="1"/>
      <c r="G7" s="1"/>
      <c r="H7" s="1"/>
      <c r="I7" s="1"/>
      <c r="J7" s="1"/>
      <c r="K7" s="1"/>
    </row>
    <row r="8" spans="2:11" ht="15.5" x14ac:dyDescent="0.35">
      <c r="B8" s="27" t="s">
        <v>55</v>
      </c>
      <c r="C8" s="1"/>
      <c r="D8" s="1"/>
      <c r="E8" s="1"/>
      <c r="F8" s="1"/>
      <c r="G8" s="1"/>
      <c r="H8" s="1"/>
      <c r="I8" s="1"/>
      <c r="J8" s="1"/>
      <c r="K8" s="1"/>
    </row>
    <row r="9" spans="2:11" ht="15.5" x14ac:dyDescent="0.35">
      <c r="B9" s="27" t="s">
        <v>56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5" x14ac:dyDescent="0.35">
      <c r="B11" s="6" t="s">
        <v>11</v>
      </c>
      <c r="C11" s="6" t="s">
        <v>0</v>
      </c>
      <c r="D11" s="6" t="s">
        <v>10</v>
      </c>
      <c r="E11" s="6" t="s">
        <v>3</v>
      </c>
      <c r="F11" s="1"/>
      <c r="G11" s="1"/>
      <c r="H11" s="1"/>
      <c r="I11" s="1"/>
      <c r="J11" s="1"/>
      <c r="K11" s="1"/>
    </row>
    <row r="12" spans="2:11" ht="15.5" x14ac:dyDescent="0.35">
      <c r="B12" s="35">
        <v>1</v>
      </c>
      <c r="C12" s="36">
        <f>B12*24.4</f>
        <v>24.4</v>
      </c>
      <c r="D12" s="37">
        <f>B12*2.54</f>
        <v>2.54</v>
      </c>
      <c r="E12" s="37">
        <f>B12*0.0254</f>
        <v>2.5399999999999999E-2</v>
      </c>
      <c r="F12" s="1"/>
      <c r="G12" s="1"/>
      <c r="H12" s="1"/>
      <c r="I12" s="1"/>
      <c r="J12" s="1"/>
      <c r="K12" s="1"/>
    </row>
    <row r="13" spans="2:11" ht="15.5" x14ac:dyDescent="0.35">
      <c r="B13" s="38">
        <f>C13*0.0393701</f>
        <v>3.9370099999999998E-2</v>
      </c>
      <c r="C13" s="35">
        <v>1</v>
      </c>
      <c r="D13" s="37">
        <f>C13*0.1</f>
        <v>0.1</v>
      </c>
      <c r="E13" s="37">
        <f>C13*0.001</f>
        <v>1E-3</v>
      </c>
      <c r="F13" s="1"/>
      <c r="G13" s="1"/>
      <c r="H13" s="1"/>
      <c r="I13" s="1"/>
      <c r="J13" s="1"/>
      <c r="K13" s="1"/>
    </row>
    <row r="14" spans="2:11" ht="15.5" x14ac:dyDescent="0.35">
      <c r="B14" s="37">
        <f>D14*0.393701</f>
        <v>0.39370100000000002</v>
      </c>
      <c r="C14" s="37">
        <f>D14*10</f>
        <v>10</v>
      </c>
      <c r="D14" s="35">
        <v>1</v>
      </c>
      <c r="E14" s="37">
        <f>D14*0.01</f>
        <v>0.01</v>
      </c>
      <c r="F14" s="1"/>
      <c r="G14" s="1"/>
      <c r="H14" s="1"/>
      <c r="I14" s="1"/>
      <c r="J14" s="1"/>
      <c r="K14" s="1"/>
    </row>
    <row r="15" spans="2:11" ht="15.5" x14ac:dyDescent="0.35">
      <c r="B15" s="37">
        <f>E15*39.3701</f>
        <v>39.370100000000001</v>
      </c>
      <c r="C15" s="37">
        <f>E15*1000</f>
        <v>1000</v>
      </c>
      <c r="D15" s="37">
        <f>E15*100</f>
        <v>100</v>
      </c>
      <c r="E15" s="35">
        <v>1</v>
      </c>
      <c r="F15" s="1"/>
      <c r="G15" s="1"/>
      <c r="H15" s="1"/>
      <c r="I15" s="1"/>
      <c r="J15" s="1"/>
      <c r="K15" s="1"/>
    </row>
    <row r="16" spans="2:1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5" x14ac:dyDescent="0.35">
      <c r="B18" s="6" t="s">
        <v>35</v>
      </c>
      <c r="C18" s="6" t="s">
        <v>36</v>
      </c>
      <c r="D18" s="6" t="s">
        <v>37</v>
      </c>
      <c r="E18" s="6" t="s">
        <v>38</v>
      </c>
      <c r="F18" s="1"/>
      <c r="G18" s="1"/>
      <c r="H18" s="1"/>
      <c r="I18" s="1"/>
      <c r="J18" s="1"/>
      <c r="K18" s="1"/>
    </row>
    <row r="19" spans="2:11" ht="15.5" x14ac:dyDescent="0.35">
      <c r="B19" s="35">
        <v>1</v>
      </c>
      <c r="C19" s="36">
        <f>B19*1.30795</f>
        <v>1.3079499999999999</v>
      </c>
      <c r="D19" s="37">
        <f>B19*35.3147</f>
        <v>35.314700000000002</v>
      </c>
      <c r="E19" s="37">
        <f>B19*1000</f>
        <v>1000</v>
      </c>
      <c r="F19" s="1"/>
      <c r="G19" s="1"/>
      <c r="H19" s="1"/>
      <c r="I19" s="1"/>
      <c r="J19" s="1"/>
      <c r="K19" s="1"/>
    </row>
    <row r="20" spans="2:11" ht="15.5" x14ac:dyDescent="0.35">
      <c r="B20" s="38">
        <f>C20*0.764555</f>
        <v>0.76455499999999998</v>
      </c>
      <c r="C20" s="35">
        <v>1</v>
      </c>
      <c r="D20" s="37">
        <f>C20*27</f>
        <v>27</v>
      </c>
      <c r="E20" s="37">
        <f>C20*764.555</f>
        <v>764.55499999999995</v>
      </c>
      <c r="F20" s="1"/>
      <c r="G20" s="1"/>
      <c r="H20" s="1"/>
      <c r="I20" s="1"/>
      <c r="J20" s="1"/>
      <c r="K20" s="1"/>
    </row>
    <row r="21" spans="2:11" ht="15.5" x14ac:dyDescent="0.35">
      <c r="B21" s="37">
        <f>D21*0.0283168</f>
        <v>2.83168E-2</v>
      </c>
      <c r="C21" s="37">
        <f>D21*0.037037</f>
        <v>3.7037E-2</v>
      </c>
      <c r="D21" s="35">
        <v>1</v>
      </c>
      <c r="E21" s="37">
        <f>D21*28.3168</f>
        <v>28.316800000000001</v>
      </c>
      <c r="F21" s="1"/>
      <c r="G21" s="1"/>
      <c r="H21" s="1"/>
      <c r="I21" s="1"/>
      <c r="J21" s="1"/>
      <c r="K21" s="1"/>
    </row>
    <row r="22" spans="2:11" ht="15.5" x14ac:dyDescent="0.35">
      <c r="B22" s="37">
        <f>E22*0.001</f>
        <v>1E-3</v>
      </c>
      <c r="C22" s="37">
        <f>E22*0.00130795</f>
        <v>1.30795E-3</v>
      </c>
      <c r="D22" s="37">
        <f>E22*0.0353147</f>
        <v>3.5314699999999997E-2</v>
      </c>
      <c r="E22" s="35">
        <v>1</v>
      </c>
      <c r="F22" s="1"/>
      <c r="G22" s="1"/>
      <c r="H22" s="1"/>
      <c r="I22" s="1"/>
      <c r="J22" s="1"/>
      <c r="K22" s="1"/>
    </row>
    <row r="23" spans="2:11" x14ac:dyDescent="0.3">
      <c r="F23" s="1"/>
      <c r="G23" s="1"/>
      <c r="H23" s="1"/>
      <c r="I23" s="1"/>
      <c r="J23" s="1"/>
      <c r="K23" s="1"/>
    </row>
    <row r="24" spans="2:11" x14ac:dyDescent="0.3">
      <c r="F24" s="1"/>
      <c r="G24" s="1"/>
      <c r="H24" s="1"/>
      <c r="I24" s="1"/>
      <c r="J24" s="1"/>
      <c r="K24" s="1"/>
    </row>
    <row r="25" spans="2:11" x14ac:dyDescent="0.3">
      <c r="F25" s="1"/>
      <c r="G25" s="1"/>
      <c r="H25" s="1"/>
      <c r="I25" s="1"/>
      <c r="J25" s="1"/>
      <c r="K25" s="1"/>
    </row>
    <row r="26" spans="2:11" x14ac:dyDescent="0.3"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</sheetData>
  <sheetProtection algorithmName="SHA-512" hashValue="djsdqGr70yRYiRELtOUXnuxofq84KxuWakjh3CziiVary/Qzl1+l8Atve5BXBRblkFsX3ZBhhAzrpBW9YJsuGQ==" saltValue="xsy6y3RUF3LSEG++w8Xr3Q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showGridLines="0" showRowColHeaders="0" zoomScale="70" zoomScaleNormal="70" workbookViewId="0">
      <selection activeCell="F97" sqref="F97"/>
    </sheetView>
  </sheetViews>
  <sheetFormatPr defaultRowHeight="14" x14ac:dyDescent="0.3"/>
  <sheetData/>
  <sheetProtection algorithmName="SHA-512" hashValue="PrSpZL0Mp7vXU7bNC3EAVIlOd9AMpAUtXgC1PiaKrGo9ZopT53vZuOr6+puhTrp5FOaijF6cTSez8H4ZCr7HeQ==" saltValue="zRrIf21btm+nFPC1+oXxaA==" spinCount="100000"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12"/>
  <sheetViews>
    <sheetView showGridLines="0" showRowColHeaders="0" workbookViewId="0">
      <selection activeCell="D102" sqref="D102"/>
    </sheetView>
  </sheetViews>
  <sheetFormatPr defaultRowHeight="14" x14ac:dyDescent="0.3"/>
  <cols>
    <col min="1" max="1" width="2.33203125" customWidth="1"/>
    <col min="3" max="3" width="3.58203125" customWidth="1"/>
    <col min="4" max="4" width="105.25" bestFit="1" customWidth="1"/>
  </cols>
  <sheetData>
    <row r="2" spans="2:4" ht="28" x14ac:dyDescent="0.6">
      <c r="B2" s="2" t="s">
        <v>34</v>
      </c>
      <c r="D2" s="2"/>
    </row>
    <row r="4" spans="2:4" ht="15.5" x14ac:dyDescent="0.35">
      <c r="B4" s="23">
        <v>1</v>
      </c>
      <c r="C4" s="44" t="s">
        <v>57</v>
      </c>
      <c r="D4" s="44"/>
    </row>
    <row r="5" spans="2:4" ht="15.5" x14ac:dyDescent="0.35">
      <c r="B5" s="22"/>
      <c r="C5" s="44"/>
      <c r="D5" s="44"/>
    </row>
    <row r="6" spans="2:4" ht="15.5" x14ac:dyDescent="0.35">
      <c r="B6" s="23">
        <v>2</v>
      </c>
      <c r="C6" s="44" t="s">
        <v>58</v>
      </c>
      <c r="D6" s="44"/>
    </row>
    <row r="7" spans="2:4" ht="15.5" x14ac:dyDescent="0.35">
      <c r="B7" s="23"/>
      <c r="C7" s="44"/>
      <c r="D7" s="44"/>
    </row>
    <row r="8" spans="2:4" ht="15.5" x14ac:dyDescent="0.35">
      <c r="B8" s="23">
        <v>3</v>
      </c>
      <c r="C8" s="45" t="s">
        <v>59</v>
      </c>
      <c r="D8" s="45"/>
    </row>
    <row r="9" spans="2:4" ht="15.5" x14ac:dyDescent="0.35">
      <c r="B9" s="23"/>
      <c r="C9" s="45"/>
      <c r="D9" s="45"/>
    </row>
    <row r="10" spans="2:4" ht="15.5" x14ac:dyDescent="0.35">
      <c r="B10" s="23">
        <v>4</v>
      </c>
      <c r="C10" s="28" t="s">
        <v>25</v>
      </c>
      <c r="D10" s="22"/>
    </row>
    <row r="11" spans="2:4" ht="15.5" x14ac:dyDescent="0.35">
      <c r="B11" s="22"/>
      <c r="C11" s="28"/>
      <c r="D11" s="22" t="s">
        <v>60</v>
      </c>
    </row>
    <row r="12" spans="2:4" ht="15.5" x14ac:dyDescent="0.35">
      <c r="B12" s="22"/>
      <c r="C12" s="22"/>
      <c r="D12" s="29" t="s">
        <v>61</v>
      </c>
    </row>
  </sheetData>
  <sheetProtection algorithmName="SHA-512" hashValue="yQ6Uot30w3rbf//YW1v3cLq+hK/ZhzuXpMt4c+3Qx102GqSvK+nSqAEj+5wvZFi/P+/rQYAsxgsAQnncy6vkUA==" saltValue="jpIwFp03R4osbhtCOJFzCw==" spinCount="100000" sheet="1" objects="1" scenarios="1" selectLockedCells="1"/>
  <mergeCells count="3">
    <mergeCell ref="C4:D5"/>
    <mergeCell ref="C6:D7"/>
    <mergeCell ref="C8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4699752254ac713e5f00bad7d1ecbbcf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6b011a252aa626a58d52675bc373671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  <xsd:enumeration value="2024 Annual Re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NQCK4AVE555S-1621385187-2114</_dlc_DocId>
    <_dlc_DocIdUrl xmlns="07c2bbc8-6002-4a0d-a80b-56f30e255265">
      <Url>https://epcorweb/en-ca/departments/drainage/sites/DOps/FPP/_layouts/15/DocIdRedir.aspx?ID=NQCK4AVE555S-1621385187-2114</Url>
      <Description>NQCK4AVE555S-1621385187-2114</Description>
    </_dlc_DocIdUrl>
    <Category xmlns="43d8aef1-1dee-4ef5-886a-34d7d48e590b">SWM Rebates</Categor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31E0-3F7A-42C9-A3C0-32769F3B4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8aef1-1dee-4ef5-886a-34d7d48e590b"/>
    <ds:schemaRef ds:uri="07c2bbc8-6002-4a0d-a80b-56f30e255265"/>
    <ds:schemaRef ds:uri="5d00b0d9-7597-4ec8-b19e-9fdf4616c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70E485-28E7-45FC-A7E3-25F4980CCE5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0C4ED1-C44E-4689-B9B9-1949373187B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5d00b0d9-7597-4ec8-b19e-9fdf4616ca12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7c2bbc8-6002-4a0d-a80b-56f30e255265"/>
    <ds:schemaRef ds:uri="43d8aef1-1dee-4ef5-886a-34d7d48e590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DC56B24-08D5-403A-948F-37CAEF8B49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Absorbent Landscape Sizing Tool</vt:lpstr>
      <vt:lpstr>Unit Conversion</vt:lpstr>
      <vt:lpstr>Reference Illustration</vt:lpstr>
      <vt:lpstr>Assumptions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Hajek, Nathalie</dc:creator>
  <cp:lastModifiedBy>Hajek, Nathalie</cp:lastModifiedBy>
  <dcterms:created xsi:type="dcterms:W3CDTF">2024-12-04T18:15:42Z</dcterms:created>
  <dcterms:modified xsi:type="dcterms:W3CDTF">2025-03-24T17:08:22Z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112968ad-342f-4cfe-be89-c0932678d180</vt:lpwstr>
  </property>
</Properties>
</file>