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2"/>
  <workbookPr/>
  <mc:AlternateContent xmlns:mc="http://schemas.openxmlformats.org/markup-compatibility/2006">
    <mc:Choice Requires="x15">
      <x15ac:absPath xmlns:x15ac="http://schemas.microsoft.com/office/spreadsheetml/2010/11/ac" url="https://epcorweb/en-ca/departments/drainage/sites/DOps/FPP/ProgramDocs/"/>
    </mc:Choice>
  </mc:AlternateContent>
  <xr:revisionPtr revIDLastSave="0" documentId="8_{3C808D32-F2F0-4A59-A516-F50F1FD83F53}" xr6:coauthVersionLast="36" xr6:coauthVersionMax="36" xr10:uidLastSave="{00000000-0000-0000-0000-000000000000}"/>
  <workbookProtection workbookAlgorithmName="SHA-512" workbookHashValue="6ffQoNxCNcVV2LOxbj2RV18M1GSpFRfjYtO8Lq2rXC2vJ4aYjja8ZFP62SPOA1xbMFHXLZAm+mT02qUQ/KsstQ==" workbookSaltValue="vIoyaCefjBQP76pZOs2fIg==" workbookSpinCount="100000" lockStructure="1"/>
  <bookViews>
    <workbookView xWindow="0" yWindow="0" windowWidth="28800" windowHeight="12300" xr2:uid="{00000000-000D-0000-FFFF-FFFF00000000}"/>
  </bookViews>
  <sheets>
    <sheet name="Rain Garden &amp; BP Sizing Tool" sheetId="5" r:id="rId1"/>
    <sheet name="Unit Conversion" sheetId="6" r:id="rId2"/>
    <sheet name="Reference Illustration" sheetId="4" r:id="rId3"/>
    <sheet name="Assumptions" sheetId="2" r:id="rId4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6" i="5" l="1"/>
  <c r="D22" i="6"/>
  <c r="C22" i="6"/>
  <c r="B22" i="6"/>
  <c r="E21" i="6"/>
  <c r="C21" i="6"/>
  <c r="B21" i="6"/>
  <c r="E20" i="6"/>
  <c r="D20" i="6"/>
  <c r="B20" i="6"/>
  <c r="E19" i="6"/>
  <c r="D19" i="6"/>
  <c r="C19" i="6"/>
  <c r="D15" i="6"/>
  <c r="C15" i="6"/>
  <c r="B15" i="6"/>
  <c r="E14" i="6"/>
  <c r="C14" i="6"/>
  <c r="B14" i="6"/>
  <c r="E13" i="6"/>
  <c r="D13" i="6"/>
  <c r="B13" i="6"/>
  <c r="E12" i="6"/>
  <c r="D12" i="6"/>
  <c r="C12" i="6"/>
  <c r="D42" i="5"/>
  <c r="C52" i="5"/>
  <c r="D40" i="5"/>
  <c r="D39" i="5"/>
  <c r="D38" i="5"/>
  <c r="C35" i="5"/>
  <c r="D29" i="5"/>
  <c r="D36" i="5"/>
  <c r="C29" i="5"/>
  <c r="D28" i="5"/>
  <c r="D35" i="5"/>
  <c r="C28" i="5"/>
  <c r="D20" i="5"/>
  <c r="I17" i="5"/>
  <c r="C20" i="5"/>
  <c r="C19" i="5"/>
  <c r="C18" i="5"/>
  <c r="D14" i="5"/>
  <c r="I19" i="5"/>
  <c r="D49" i="5"/>
  <c r="D15" i="5"/>
  <c r="D16" i="5"/>
  <c r="I16" i="5"/>
  <c r="I18" i="5"/>
  <c r="D41" i="5"/>
  <c r="D31" i="5"/>
  <c r="D51" i="5"/>
  <c r="D52" i="5"/>
  <c r="D53" i="5"/>
</calcChain>
</file>

<file path=xl/sharedStrings.xml><?xml version="1.0" encoding="utf-8"?>
<sst xmlns="http://schemas.openxmlformats.org/spreadsheetml/2006/main" count="105" uniqueCount="80">
  <si>
    <t>Rain Garden/Box Planter Sizing Tool</t>
  </si>
  <si>
    <t>How to Use This Tool</t>
  </si>
  <si>
    <t>1. Enter project values into the blue editable cells.</t>
  </si>
  <si>
    <t>2. Adjust project values as required to achieve desired storage capacity (target 100%). Dark grey cells show calculation results and cannot be edited.</t>
  </si>
  <si>
    <t>3. Use the unit conversion tables on the right to convert measurements and outputs to desired units.</t>
  </si>
  <si>
    <t>Rainfall to be Managed (mm)</t>
  </si>
  <si>
    <t>Hide</t>
  </si>
  <si>
    <t>Notes</t>
  </si>
  <si>
    <t>Type of Facility</t>
  </si>
  <si>
    <t>Rain Garden</t>
  </si>
  <si>
    <t>Select from the drop down menu.</t>
  </si>
  <si>
    <t>Material Amount</t>
  </si>
  <si>
    <r>
      <t>Directly Connected Impervious Area (m</t>
    </r>
    <r>
      <rPr>
        <b/>
        <vertAlign val="superscript"/>
        <sz val="12"/>
        <color theme="3"/>
        <rFont val="Arial"/>
        <family val="2"/>
        <scheme val="minor"/>
      </rPr>
      <t>2</t>
    </r>
    <r>
      <rPr>
        <b/>
        <sz val="12"/>
        <color theme="3"/>
        <rFont val="Arial"/>
        <family val="2"/>
        <scheme val="minor"/>
      </rPr>
      <t>)</t>
    </r>
  </si>
  <si>
    <t>Roof, patio, or other hard surface area directed to your project.</t>
  </si>
  <si>
    <t>Based on the information entered, here's an estimate of how much material you'll need:</t>
  </si>
  <si>
    <t>Imperviousness</t>
  </si>
  <si>
    <t>Runoff Coefficient</t>
  </si>
  <si>
    <t>Runoff Volume (m3)</t>
  </si>
  <si>
    <t>Estimated Runoff (L)</t>
  </si>
  <si>
    <t>The value shown is based on a 18 mm rainfall.</t>
  </si>
  <si>
    <t>Soil</t>
  </si>
  <si>
    <t>cubic yard(s)</t>
  </si>
  <si>
    <t>Mulch</t>
  </si>
  <si>
    <t>A</t>
  </si>
  <si>
    <t>Filter Layer Rock</t>
  </si>
  <si>
    <t>Rock</t>
  </si>
  <si>
    <t>Surface Ponding Depth (mm)</t>
  </si>
  <si>
    <t>Recommended range for rain gardens: 100-150 mm.
If your project has a rock layer with a perforated pipe (e.g. box planter), ponding can be increased, but is recommended to not exceed 350 mm.</t>
  </si>
  <si>
    <t>Mulch Depth (mm)</t>
  </si>
  <si>
    <t>Surface Side Slope of Rain Garden (H:V=1)</t>
  </si>
  <si>
    <t>Preferred side slope is 4:1, but if you're tight on space you may need to go steeper.
If you are building a box planter, set this value to 0.</t>
  </si>
  <si>
    <t>B</t>
  </si>
  <si>
    <t>Vegetation Void Space</t>
  </si>
  <si>
    <t>Estimated Surface Storage (m3)</t>
  </si>
  <si>
    <t>Soil Depth (mm)</t>
  </si>
  <si>
    <t>If building a rain garden, recommend a minimum of 300 mm.
If your project has a rock layer with a perforated pipe (e.g. box planter), recommend a minimum of 500 mm.</t>
  </si>
  <si>
    <t>C</t>
  </si>
  <si>
    <t>Texture</t>
  </si>
  <si>
    <t>Sandy Loam</t>
  </si>
  <si>
    <t>Saturated Hydraulic Conductivity (mm/hr)</t>
  </si>
  <si>
    <t>Porosity (volume fraction)</t>
  </si>
  <si>
    <t>Field Capacity</t>
  </si>
  <si>
    <t>Estimated Soil Storage - Rectangular Prism (m3)</t>
  </si>
  <si>
    <t>Filter Layer Depth (mm)</t>
  </si>
  <si>
    <t>If your project has a rock layer with a perforated pipe (e.g. box planter), recommend a minimum 100 mm filter layer between the soil and rock layers to prevent soil from clogging the empty spaces in the rock layer.</t>
  </si>
  <si>
    <t>Rock Layer Depth (mm)</t>
  </si>
  <si>
    <t>If your project has a rock layer with a perforated pipe (e.g. box planter), recommend a minimum 100 mm above and below the perforated pipe.
If building a rain garden, set this value to 0.</t>
  </si>
  <si>
    <t>Void Space of Rock Layer</t>
  </si>
  <si>
    <t>Estimated Rock Storage (m3)</t>
  </si>
  <si>
    <t>Estimated Total Storage (m3)</t>
  </si>
  <si>
    <t>Estimated Storage Capacity</t>
  </si>
  <si>
    <t>Target 100% storage capacity.</t>
  </si>
  <si>
    <t>Unit Conversion</t>
  </si>
  <si>
    <t>Steps to Use</t>
  </si>
  <si>
    <t>1. Find the column heading of the unit you want to convert from.</t>
  </si>
  <si>
    <t>2. Enter the measurement value into the blue editable cell within that column.</t>
  </si>
  <si>
    <t>3. Dark grey cells within the row of the edited blue cell show conversion results and cannot be edited.</t>
  </si>
  <si>
    <t>4. Follow the row of the edited blue cell to the column of the target unit.</t>
  </si>
  <si>
    <t>5. The value at the intersection is the converted value in the target unit.</t>
  </si>
  <si>
    <t>inch</t>
  </si>
  <si>
    <t>mm</t>
  </si>
  <si>
    <t>cm</t>
  </si>
  <si>
    <t>m</t>
  </si>
  <si>
    <t>cu.m</t>
  </si>
  <si>
    <t>cu.yd</t>
  </si>
  <si>
    <t>cu.ft</t>
  </si>
  <si>
    <t>L</t>
  </si>
  <si>
    <t>Above Ground Box Planter</t>
  </si>
  <si>
    <t>Below Ground Box Planter</t>
  </si>
  <si>
    <t>Rain Garden/Box Planter Sizing Tool Assumptions</t>
  </si>
  <si>
    <r>
      <t>Rainfall Event Basis</t>
    </r>
    <r>
      <rPr>
        <sz val="12"/>
        <color rgb="FF000000"/>
        <rFont val="Arial"/>
        <family val="2"/>
        <scheme val="minor"/>
      </rPr>
      <t>: Calculations are based on single-event rainfall amounts, aiming to retain approximately 95% of the average annual runoff in Edmonton. This considers climate change effects, with an assumed rainfall event of 18 mm.</t>
    </r>
  </si>
  <si>
    <r>
      <t>Runoff Coefficient (C)</t>
    </r>
    <r>
      <rPr>
        <sz val="12"/>
        <color rgb="FF000000"/>
        <rFont val="Arial"/>
        <family val="2"/>
        <scheme val="minor"/>
      </rPr>
      <t>: The runoff coefficient is calculated as 0.95, assuming 100% imperviousness. The formula used is: C=0.95*imp+0.1(1.0-imp).</t>
    </r>
  </si>
  <si>
    <r>
      <t xml:space="preserve">Runoff: </t>
    </r>
    <r>
      <rPr>
        <sz val="12"/>
        <color theme="1"/>
        <rFont val="Arial"/>
        <family val="2"/>
        <scheme val="minor"/>
      </rPr>
      <t>Calculation considers runoff from the directly connected impervious area (DCIA) and rainfall falling directly onto the surface of the rain garden.</t>
    </r>
  </si>
  <si>
    <t xml:space="preserve">Components: </t>
  </si>
  <si>
    <r>
      <rPr>
        <b/>
        <sz val="12"/>
        <color theme="1"/>
        <rFont val="Arial"/>
        <family val="2"/>
        <scheme val="minor"/>
      </rPr>
      <t>Plants:</t>
    </r>
    <r>
      <rPr>
        <sz val="12"/>
        <color theme="1"/>
        <rFont val="Arial"/>
        <family val="2"/>
        <scheme val="minor"/>
      </rPr>
      <t xml:space="preserve"> Assumes planted surface of rain garden, with 90% void space. </t>
    </r>
  </si>
  <si>
    <r>
      <t>Mulch:</t>
    </r>
    <r>
      <rPr>
        <sz val="12"/>
        <color rgb="FF000000"/>
        <rFont val="Arial"/>
        <family val="2"/>
        <scheme val="minor"/>
      </rPr>
      <t xml:space="preserve"> Assumes 80 mm depth of shredded, non-floatable mulch.</t>
    </r>
  </si>
  <si>
    <r>
      <t xml:space="preserve">Soil: </t>
    </r>
    <r>
      <rPr>
        <sz val="12"/>
        <color rgb="FF000000"/>
        <rFont val="Arial"/>
        <family val="2"/>
        <scheme val="minor"/>
      </rPr>
      <t>Assumes a sandy loam with a porosity of 0.35 and a field capacity of 0.16.</t>
    </r>
  </si>
  <si>
    <r>
      <t>Filter layer:</t>
    </r>
    <r>
      <rPr>
        <sz val="12"/>
        <color rgb="FF000000"/>
        <rFont val="Arial"/>
        <family val="2"/>
        <scheme val="minor"/>
      </rPr>
      <t xml:space="preserve"> Assumes a 10-14 mm diameter washed rock layer is used with &lt; 0.1% silt and 30% void space to prevent migration of soil into rock storage layer.</t>
    </r>
  </si>
  <si>
    <r>
      <t>Rock:</t>
    </r>
    <r>
      <rPr>
        <sz val="12"/>
        <color rgb="FF000000"/>
        <rFont val="Arial"/>
        <family val="2"/>
        <scheme val="minor"/>
      </rPr>
      <t xml:space="preserve"> Assumes 25-40 mm diameter angular crushed rock with &lt; 0.1% silt and 36% void space.</t>
    </r>
  </si>
  <si>
    <r>
      <rPr>
        <b/>
        <sz val="12"/>
        <color theme="1"/>
        <rFont val="Arial"/>
        <family val="2"/>
        <scheme val="minor"/>
      </rPr>
      <t>Shape:</t>
    </r>
    <r>
      <rPr>
        <sz val="12"/>
        <color theme="1"/>
        <rFont val="Arial"/>
        <family val="2"/>
        <scheme val="minor"/>
      </rPr>
      <t xml:space="preserve"> Calculations assume box planters are rectangular prisms.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</si>
</sst>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20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theme="1"/>
      <name val="Arial"/>
      <family val="2"/>
    </font>
    <font>
      <b/>
      <sz val="22"/>
      <color theme="1"/>
      <name val="Arial"/>
      <family val="2"/>
    </font>
    <font>
      <b/>
      <sz val="12"/>
      <color theme="3"/>
      <name val="Arial"/>
      <family val="2"/>
      <scheme val="minor"/>
    </font>
    <font>
      <sz val="12"/>
      <color theme="1"/>
      <name val="Arial"/>
      <family val="2"/>
      <scheme val="minor"/>
    </font>
    <font>
      <sz val="12"/>
      <color theme="1"/>
      <name val="Arial"/>
      <family val="2"/>
    </font>
    <font>
      <sz val="12"/>
      <color theme="3"/>
      <name val="Arial"/>
      <family val="2"/>
      <scheme val="minor"/>
    </font>
    <font>
      <sz val="12"/>
      <color theme="3"/>
      <name val="Arial"/>
      <family val="2"/>
    </font>
    <font>
      <b/>
      <vertAlign val="superscript"/>
      <sz val="12"/>
      <color theme="3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sz val="11"/>
      <color rgb="FF3F3F3F"/>
      <name val="Arial"/>
      <family val="2"/>
      <scheme val="minor"/>
    </font>
    <font>
      <sz val="12"/>
      <color theme="2" tint="-0.89999084444715716"/>
      <name val="Arial"/>
      <family val="2"/>
      <scheme val="minor"/>
    </font>
    <font>
      <b/>
      <sz val="12"/>
      <color theme="2" tint="-0.89999084444715716"/>
      <name val="Arial"/>
      <family val="2"/>
      <scheme val="minor"/>
    </font>
    <font>
      <b/>
      <sz val="22"/>
      <color theme="2" tint="-0.89999084444715716"/>
      <name val="Arial"/>
      <family val="2"/>
    </font>
    <font>
      <i/>
      <sz val="12"/>
      <color theme="2" tint="-0.89999084444715716"/>
      <name val="Arial"/>
      <family val="2"/>
    </font>
    <font>
      <b/>
      <sz val="12"/>
      <color rgb="FF3F3F3F"/>
      <name val="Arial"/>
      <family val="2"/>
      <scheme val="minor"/>
    </font>
    <font>
      <b/>
      <sz val="12"/>
      <color rgb="FF000000"/>
      <name val="Arial"/>
      <family val="2"/>
      <scheme val="minor"/>
    </font>
    <font>
      <sz val="12"/>
      <color rgb="FF000000"/>
      <name val="Arial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0"/>
        <bgColor theme="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</patternFill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/>
      <diagonal/>
    </border>
    <border>
      <left style="thin">
        <color theme="2" tint="-9.9978637043366805E-2"/>
      </left>
      <right style="thin">
        <color theme="2" tint="-9.9978637043366805E-2"/>
      </right>
      <top/>
      <bottom/>
      <diagonal/>
    </border>
    <border>
      <left style="thin">
        <color theme="2" tint="-9.9978637043366805E-2"/>
      </left>
      <right style="thin">
        <color theme="2" tint="-9.9978637043366805E-2"/>
      </right>
      <top/>
      <bottom style="thin">
        <color theme="2" tint="-9.9978637043366805E-2"/>
      </bottom>
      <diagonal/>
    </border>
    <border>
      <left/>
      <right style="thin">
        <color theme="2" tint="-9.9978637043366805E-2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/>
      <diagonal/>
    </border>
    <border>
      <left style="thin">
        <color theme="2" tint="-0.499984740745262"/>
      </left>
      <right style="thin">
        <color theme="2" tint="-0.499984740745262"/>
      </right>
      <top/>
      <bottom/>
      <diagonal/>
    </border>
    <border>
      <left style="thin">
        <color theme="2" tint="-0.499984740745262"/>
      </left>
      <right style="thin">
        <color theme="2" tint="-0.499984740745262"/>
      </right>
      <top/>
      <bottom style="thin">
        <color theme="2" tint="-9.9978637043366805E-2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/>
      <bottom style="thin">
        <color rgb="FF3F3F3F"/>
      </bottom>
      <diagonal/>
    </border>
    <border>
      <left style="thin">
        <color theme="2" tint="-0.499984740745262"/>
      </left>
      <right style="thin">
        <color theme="2" tint="-0.499984740745262"/>
      </right>
      <top/>
      <bottom style="thin">
        <color theme="2" tint="-0.499984740745262"/>
      </bottom>
      <diagonal/>
    </border>
    <border>
      <left/>
      <right style="thin">
        <color theme="2" tint="-0.499984740745262"/>
      </right>
      <top/>
      <bottom/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2" fillId="8" borderId="9" applyNumberFormat="0" applyAlignment="0" applyProtection="0"/>
  </cellStyleXfs>
  <cellXfs count="65">
    <xf numFmtId="0" fontId="0" fillId="0" borderId="0" xfId="0"/>
    <xf numFmtId="0" fontId="3" fillId="0" borderId="0" xfId="0" applyFont="1"/>
    <xf numFmtId="0" fontId="4" fillId="5" borderId="0" xfId="0" applyFont="1" applyFill="1"/>
    <xf numFmtId="0" fontId="2" fillId="0" borderId="0" xfId="2" applyAlignment="1">
      <alignment horizontal="right"/>
    </xf>
    <xf numFmtId="0" fontId="5" fillId="0" borderId="0" xfId="2" applyFont="1" applyAlignment="1">
      <alignment horizontal="right"/>
    </xf>
    <xf numFmtId="0" fontId="7" fillId="0" borderId="0" xfId="0" applyFont="1"/>
    <xf numFmtId="0" fontId="7" fillId="0" borderId="0" xfId="0" applyFont="1" applyAlignment="1">
      <alignment horizontal="center"/>
    </xf>
    <xf numFmtId="0" fontId="7" fillId="7" borderId="0" xfId="0" applyFont="1" applyFill="1" applyAlignment="1">
      <alignment horizontal="center"/>
    </xf>
    <xf numFmtId="0" fontId="5" fillId="0" borderId="0" xfId="2" applyFont="1" applyAlignment="1">
      <alignment horizontal="center"/>
    </xf>
    <xf numFmtId="0" fontId="5" fillId="0" borderId="0" xfId="2" applyFont="1" applyAlignment="1">
      <alignment horizontal="left"/>
    </xf>
    <xf numFmtId="0" fontId="5" fillId="0" borderId="0" xfId="2" applyFont="1" applyAlignment="1">
      <alignment horizontal="right" vertical="center"/>
    </xf>
    <xf numFmtId="0" fontId="0" fillId="0" borderId="0" xfId="0" applyAlignment="1">
      <alignment vertical="center"/>
    </xf>
    <xf numFmtId="0" fontId="6" fillId="3" borderId="1" xfId="4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8" fillId="3" borderId="1" xfId="4" applyFont="1" applyBorder="1" applyAlignment="1">
      <alignment horizontal="center" vertical="center"/>
    </xf>
    <xf numFmtId="2" fontId="8" fillId="3" borderId="1" xfId="4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9" fontId="8" fillId="3" borderId="1" xfId="1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/>
    </xf>
    <xf numFmtId="164" fontId="8" fillId="7" borderId="0" xfId="4" applyNumberFormat="1" applyFont="1" applyFill="1" applyAlignment="1">
      <alignment horizontal="left"/>
    </xf>
    <xf numFmtId="164" fontId="8" fillId="7" borderId="0" xfId="4" applyNumberFormat="1" applyFont="1" applyFill="1"/>
    <xf numFmtId="164" fontId="8" fillId="3" borderId="3" xfId="4" applyNumberFormat="1" applyFont="1" applyBorder="1" applyAlignment="1">
      <alignment horizontal="center" vertical="center"/>
    </xf>
    <xf numFmtId="0" fontId="7" fillId="6" borderId="3" xfId="0" applyFont="1" applyFill="1" applyBorder="1" applyAlignment="1">
      <alignment horizontal="center"/>
    </xf>
    <xf numFmtId="9" fontId="8" fillId="3" borderId="3" xfId="1" applyFont="1" applyFill="1" applyBorder="1" applyAlignment="1">
      <alignment horizontal="center" vertical="center"/>
    </xf>
    <xf numFmtId="4" fontId="5" fillId="4" borderId="2" xfId="5" applyNumberFormat="1" applyFont="1" applyBorder="1" applyAlignment="1">
      <alignment horizontal="center" vertical="center"/>
    </xf>
    <xf numFmtId="0" fontId="7" fillId="6" borderId="2" xfId="0" applyFont="1" applyFill="1" applyBorder="1" applyAlignment="1">
      <alignment horizontal="center"/>
    </xf>
    <xf numFmtId="0" fontId="8" fillId="3" borderId="4" xfId="4" applyFont="1" applyBorder="1" applyAlignment="1">
      <alignment horizontal="center" vertical="center"/>
    </xf>
    <xf numFmtId="0" fontId="7" fillId="6" borderId="4" xfId="0" applyFont="1" applyFill="1" applyBorder="1" applyAlignment="1">
      <alignment horizontal="center"/>
    </xf>
    <xf numFmtId="9" fontId="8" fillId="3" borderId="4" xfId="4" applyNumberFormat="1" applyFont="1" applyBorder="1" applyAlignment="1">
      <alignment horizontal="center" vertical="center"/>
    </xf>
    <xf numFmtId="2" fontId="8" fillId="3" borderId="4" xfId="4" applyNumberFormat="1" applyFont="1" applyBorder="1" applyAlignment="1">
      <alignment horizontal="center" vertical="center"/>
    </xf>
    <xf numFmtId="164" fontId="8" fillId="3" borderId="4" xfId="4" applyNumberFormat="1" applyFont="1" applyBorder="1" applyAlignment="1">
      <alignment horizontal="center" vertical="center"/>
    </xf>
    <xf numFmtId="9" fontId="7" fillId="6" borderId="4" xfId="0" applyNumberFormat="1" applyFont="1" applyFill="1" applyBorder="1" applyAlignment="1">
      <alignment horizontal="center"/>
    </xf>
    <xf numFmtId="0" fontId="6" fillId="0" borderId="0" xfId="0" applyFont="1"/>
    <xf numFmtId="0" fontId="11" fillId="0" borderId="0" xfId="0" applyFont="1"/>
    <xf numFmtId="165" fontId="13" fillId="9" borderId="10" xfId="5" applyNumberFormat="1" applyFont="1" applyFill="1" applyBorder="1" applyAlignment="1">
      <alignment horizontal="center"/>
    </xf>
    <xf numFmtId="165" fontId="14" fillId="9" borderId="10" xfId="5" applyNumberFormat="1" applyFont="1" applyFill="1" applyBorder="1" applyAlignment="1">
      <alignment horizontal="center"/>
    </xf>
    <xf numFmtId="3" fontId="14" fillId="9" borderId="10" xfId="5" applyNumberFormat="1" applyFont="1" applyFill="1" applyBorder="1" applyAlignment="1">
      <alignment horizontal="center"/>
    </xf>
    <xf numFmtId="9" fontId="14" fillId="9" borderId="10" xfId="1" applyFont="1" applyFill="1" applyBorder="1" applyAlignment="1">
      <alignment horizontal="center"/>
    </xf>
    <xf numFmtId="0" fontId="15" fillId="5" borderId="0" xfId="0" applyFont="1" applyFill="1"/>
    <xf numFmtId="0" fontId="13" fillId="0" borderId="0" xfId="0" applyFont="1"/>
    <xf numFmtId="0" fontId="16" fillId="0" borderId="0" xfId="0" applyFont="1" applyAlignment="1">
      <alignment vertical="top"/>
    </xf>
    <xf numFmtId="1" fontId="13" fillId="2" borderId="10" xfId="3" applyNumberFormat="1" applyFont="1" applyBorder="1" applyAlignment="1" applyProtection="1">
      <alignment horizontal="center" vertical="center" wrapText="1"/>
      <protection locked="0"/>
    </xf>
    <xf numFmtId="164" fontId="13" fillId="2" borderId="11" xfId="3" applyNumberFormat="1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vertical="center"/>
    </xf>
    <xf numFmtId="2" fontId="13" fillId="2" borderId="10" xfId="3" applyNumberFormat="1" applyFont="1" applyBorder="1" applyAlignment="1" applyProtection="1">
      <alignment horizontal="right"/>
      <protection locked="0"/>
    </xf>
    <xf numFmtId="2" fontId="17" fillId="9" borderId="14" xfId="6" applyNumberFormat="1" applyFont="1" applyFill="1" applyBorder="1" applyAlignment="1">
      <alignment horizontal="right"/>
    </xf>
    <xf numFmtId="2" fontId="17" fillId="9" borderId="9" xfId="6" applyNumberFormat="1" applyFont="1" applyFill="1" applyAlignment="1">
      <alignment horizontal="right"/>
    </xf>
    <xf numFmtId="2" fontId="17" fillId="9" borderId="15" xfId="6" applyNumberFormat="1" applyFont="1" applyFill="1" applyBorder="1" applyAlignment="1">
      <alignment horizontal="right"/>
    </xf>
    <xf numFmtId="0" fontId="18" fillId="0" borderId="0" xfId="0" applyFont="1"/>
    <xf numFmtId="0" fontId="18" fillId="0" borderId="0" xfId="0" applyFont="1" applyAlignment="1">
      <alignment vertical="center"/>
    </xf>
    <xf numFmtId="0" fontId="7" fillId="6" borderId="5" xfId="0" applyFont="1" applyFill="1" applyBorder="1" applyAlignment="1">
      <alignment horizontal="center" wrapText="1"/>
    </xf>
    <xf numFmtId="0" fontId="7" fillId="6" borderId="6" xfId="0" applyFont="1" applyFill="1" applyBorder="1" applyAlignment="1">
      <alignment horizontal="center" wrapText="1"/>
    </xf>
    <xf numFmtId="0" fontId="7" fillId="6" borderId="7" xfId="0" applyFont="1" applyFill="1" applyBorder="1" applyAlignment="1">
      <alignment horizontal="center" wrapText="1"/>
    </xf>
    <xf numFmtId="1" fontId="13" fillId="2" borderId="11" xfId="3" applyNumberFormat="1" applyFont="1" applyBorder="1" applyAlignment="1" applyProtection="1">
      <alignment horizontal="center" vertical="center" wrapText="1"/>
      <protection locked="0"/>
    </xf>
    <xf numFmtId="1" fontId="13" fillId="2" borderId="12" xfId="3" applyNumberFormat="1" applyFont="1" applyBorder="1" applyAlignment="1" applyProtection="1">
      <alignment horizontal="center" vertical="center" wrapText="1"/>
      <protection locked="0"/>
    </xf>
    <xf numFmtId="1" fontId="13" fillId="2" borderId="13" xfId="3" applyNumberFormat="1" applyFont="1" applyBorder="1" applyAlignment="1" applyProtection="1">
      <alignment horizontal="center" vertical="center" wrapText="1"/>
      <protection locked="0"/>
    </xf>
    <xf numFmtId="0" fontId="5" fillId="0" borderId="8" xfId="2" applyFont="1" applyBorder="1" applyAlignment="1">
      <alignment horizontal="right" vertical="center"/>
    </xf>
    <xf numFmtId="1" fontId="13" fillId="2" borderId="16" xfId="3" applyNumberFormat="1" applyFont="1" applyBorder="1" applyAlignment="1" applyProtection="1">
      <alignment horizontal="center" vertical="center" wrapText="1"/>
      <protection locked="0"/>
    </xf>
    <xf numFmtId="0" fontId="7" fillId="6" borderId="4" xfId="0" applyFont="1" applyFill="1" applyBorder="1" applyAlignment="1">
      <alignment horizontal="center" wrapText="1"/>
    </xf>
    <xf numFmtId="0" fontId="5" fillId="0" borderId="0" xfId="2" applyFont="1" applyAlignment="1">
      <alignment horizontal="right" vertical="center" wrapText="1"/>
    </xf>
    <xf numFmtId="0" fontId="5" fillId="0" borderId="0" xfId="2" applyFont="1" applyAlignment="1">
      <alignment horizontal="right" vertical="center"/>
    </xf>
    <xf numFmtId="0" fontId="5" fillId="0" borderId="17" xfId="2" applyFont="1" applyBorder="1" applyAlignment="1">
      <alignment horizontal="right" vertical="center"/>
    </xf>
    <xf numFmtId="0" fontId="18" fillId="0" borderId="0" xfId="0" applyFont="1" applyAlignment="1">
      <alignment horizontal="left" wrapText="1"/>
    </xf>
    <xf numFmtId="0" fontId="11" fillId="0" borderId="0" xfId="0" applyFont="1" applyAlignment="1">
      <alignment horizontal="left" wrapText="1"/>
    </xf>
    <xf numFmtId="0" fontId="18" fillId="0" borderId="0" xfId="0" applyFont="1" applyAlignment="1">
      <alignment horizontal="left" vertical="center" wrapText="1"/>
    </xf>
  </cellXfs>
  <cellStyles count="7">
    <cellStyle name="20% - Accent1" xfId="3" builtinId="30"/>
    <cellStyle name="20% - Accent5" xfId="4" builtinId="46"/>
    <cellStyle name="40% - Accent5" xfId="5" builtinId="47"/>
    <cellStyle name="Heading 4" xfId="2" builtinId="19"/>
    <cellStyle name="Normal" xfId="0" builtinId="0"/>
    <cellStyle name="Output" xfId="6" builtinId="21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epcor.com/rainwise" TargetMode="External"/><Relationship Id="rId2" Type="http://schemas.openxmlformats.org/officeDocument/2006/relationships/hyperlink" Target="#'Reference Illustration'!A1"/><Relationship Id="rId1" Type="http://schemas.openxmlformats.org/officeDocument/2006/relationships/hyperlink" Target="#'Unit Conversion'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Rain Garden &amp; BP Sizing Tool'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hyperlink" Target="#'Rain Garden &amp; BP Sizing Tool'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'Rain Garden &amp; BP Sizing Tool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571499</xdr:colOff>
      <xdr:row>1</xdr:row>
      <xdr:rowOff>25400</xdr:rowOff>
    </xdr:from>
    <xdr:to>
      <xdr:col>14</xdr:col>
      <xdr:colOff>225424</xdr:colOff>
      <xdr:row>7</xdr:row>
      <xdr:rowOff>44451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1048999" y="206375"/>
          <a:ext cx="5768975" cy="1323976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CA" sz="1200">
              <a:solidFill>
                <a:schemeClr val="bg2">
                  <a:lumMod val="10000"/>
                </a:schemeClr>
              </a:solidFill>
            </a:rPr>
            <a:t>This</a:t>
          </a:r>
          <a:r>
            <a:rPr lang="en-CA" sz="1200" baseline="0">
              <a:solidFill>
                <a:schemeClr val="bg2">
                  <a:lumMod val="10000"/>
                </a:schemeClr>
              </a:solidFill>
            </a:rPr>
            <a:t> sizing tool was created by EPCOR to support property owners in sizing their green stormwater management projects. It is provided for guidance purposes only and does not replace professional advice. </a:t>
          </a:r>
        </a:p>
        <a:p>
          <a:endParaRPr lang="en-CA" sz="1200" baseline="0">
            <a:solidFill>
              <a:schemeClr val="bg2">
                <a:lumMod val="10000"/>
              </a:schemeClr>
            </a:solidFill>
          </a:endParaRPr>
        </a:p>
        <a:p>
          <a:r>
            <a:rPr lang="en-CA" sz="1200" baseline="0">
              <a:solidFill>
                <a:schemeClr val="bg2">
                  <a:lumMod val="10000"/>
                </a:schemeClr>
              </a:solidFill>
            </a:rPr>
            <a:t>EPCOR does not make any guarantees, either implicit or explicit, regarding the accuracy, completeness or reliability of the information provided through use of this tool.</a:t>
          </a:r>
        </a:p>
      </xdr:txBody>
    </xdr:sp>
    <xdr:clientData/>
  </xdr:twoCellAnchor>
  <xdr:twoCellAnchor>
    <xdr:from>
      <xdr:col>6</xdr:col>
      <xdr:colOff>0</xdr:colOff>
      <xdr:row>31</xdr:row>
      <xdr:rowOff>134937</xdr:rowOff>
    </xdr:from>
    <xdr:to>
      <xdr:col>9</xdr:col>
      <xdr:colOff>457200</xdr:colOff>
      <xdr:row>44</xdr:row>
      <xdr:rowOff>89217</xdr:rowOff>
    </xdr:to>
    <xdr:sp macro="" textlink="">
      <xdr:nvSpPr>
        <xdr:cNvPr id="7" name="Flowchart: Alternate Process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1106150" y="4478337"/>
          <a:ext cx="2514600" cy="1097280"/>
        </a:xfrm>
        <a:prstGeom prst="flowChartAlternateProcess">
          <a:avLst/>
        </a:prstGeom>
        <a:solidFill>
          <a:schemeClr val="accent2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CA" sz="1200"/>
            <a:t>Need</a:t>
          </a:r>
          <a:r>
            <a:rPr lang="en-CA" sz="1200" baseline="0"/>
            <a:t> to convert measurements? </a:t>
          </a:r>
          <a:r>
            <a:rPr lang="en-CA" sz="1200"/>
            <a:t>Click here for some handy unit conversion tables!</a:t>
          </a:r>
        </a:p>
      </xdr:txBody>
    </xdr:sp>
    <xdr:clientData/>
  </xdr:twoCellAnchor>
  <xdr:twoCellAnchor>
    <xdr:from>
      <xdr:col>6</xdr:col>
      <xdr:colOff>0</xdr:colOff>
      <xdr:row>45</xdr:row>
      <xdr:rowOff>31750</xdr:rowOff>
    </xdr:from>
    <xdr:to>
      <xdr:col>9</xdr:col>
      <xdr:colOff>457200</xdr:colOff>
      <xdr:row>53</xdr:row>
      <xdr:rowOff>176530</xdr:rowOff>
    </xdr:to>
    <xdr:sp macro="" textlink="">
      <xdr:nvSpPr>
        <xdr:cNvPr id="8" name="Flowchart: Alternate Process 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11106150" y="5708650"/>
          <a:ext cx="2514600" cy="1097280"/>
        </a:xfrm>
        <a:prstGeom prst="flowChartAlternateProcess">
          <a:avLst/>
        </a:prstGeom>
        <a:solidFill>
          <a:schemeClr val="accent6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CA" sz="1200"/>
            <a:t>See what your project could look like! Click here to view an illustration.</a:t>
          </a:r>
        </a:p>
      </xdr:txBody>
    </xdr:sp>
    <xdr:clientData/>
  </xdr:twoCellAnchor>
  <xdr:twoCellAnchor>
    <xdr:from>
      <xdr:col>6</xdr:col>
      <xdr:colOff>0</xdr:colOff>
      <xdr:row>20</xdr:row>
      <xdr:rowOff>47625</xdr:rowOff>
    </xdr:from>
    <xdr:to>
      <xdr:col>9</xdr:col>
      <xdr:colOff>454025</xdr:colOff>
      <xdr:row>27</xdr:row>
      <xdr:rowOff>0</xdr:rowOff>
    </xdr:to>
    <xdr:sp macro="" textlink="">
      <xdr:nvSpPr>
        <xdr:cNvPr id="9" name="Rounded Rectangle 8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11106150" y="3248025"/>
          <a:ext cx="2511425" cy="1095375"/>
        </a:xfrm>
        <a:prstGeom prst="roundRect">
          <a:avLst/>
        </a:prstGeom>
        <a:ln>
          <a:solidFill>
            <a:schemeClr val="accent4">
              <a:lumMod val="60000"/>
              <a:lumOff val="40000"/>
            </a:schemeClr>
          </a:solidFill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n-CA" sz="1200"/>
            <a:t>Refer to the </a:t>
          </a:r>
          <a:r>
            <a:rPr lang="en-CA" sz="1200" u="sng">
              <a:solidFill>
                <a:schemeClr val="accent5"/>
              </a:solidFill>
            </a:rPr>
            <a:t>RainWise</a:t>
          </a:r>
          <a:r>
            <a:rPr lang="en-CA" sz="1200" u="sng" baseline="0">
              <a:solidFill>
                <a:schemeClr val="accent5"/>
              </a:solidFill>
            </a:rPr>
            <a:t> Applicant Guide </a:t>
          </a:r>
          <a:r>
            <a:rPr lang="en-CA" sz="1200" baseline="0"/>
            <a:t>for more information on project requirements and how to determine directly connected impervious area (DCIA).</a:t>
          </a:r>
          <a:endParaRPr lang="en-CA" sz="1200"/>
        </a:p>
      </xdr:txBody>
    </xdr:sp>
    <xdr:clientData/>
  </xdr:twoCellAnchor>
  <xdr:twoCellAnchor>
    <xdr:from>
      <xdr:col>0</xdr:col>
      <xdr:colOff>238125</xdr:colOff>
      <xdr:row>2</xdr:row>
      <xdr:rowOff>95250</xdr:rowOff>
    </xdr:from>
    <xdr:to>
      <xdr:col>5</xdr:col>
      <xdr:colOff>152400</xdr:colOff>
      <xdr:row>53</xdr:row>
      <xdr:rowOff>114300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238125" y="628650"/>
          <a:ext cx="10391775" cy="6115050"/>
        </a:xfrm>
        <a:prstGeom prst="rect">
          <a:avLst/>
        </a:prstGeom>
        <a:noFill/>
        <a:ln w="381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CA" sz="1100"/>
        </a:p>
      </xdr:txBody>
    </xdr:sp>
    <xdr:clientData/>
  </xdr:twoCellAnchor>
  <xdr:twoCellAnchor>
    <xdr:from>
      <xdr:col>5</xdr:col>
      <xdr:colOff>571499</xdr:colOff>
      <xdr:row>9</xdr:row>
      <xdr:rowOff>133350</xdr:rowOff>
    </xdr:from>
    <xdr:to>
      <xdr:col>14</xdr:col>
      <xdr:colOff>466724</xdr:colOff>
      <xdr:row>19</xdr:row>
      <xdr:rowOff>66675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11048999" y="1809750"/>
          <a:ext cx="6010275" cy="1266825"/>
        </a:xfrm>
        <a:prstGeom prst="rect">
          <a:avLst/>
        </a:prstGeom>
        <a:noFill/>
        <a:ln w="381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CA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127001</xdr:colOff>
      <xdr:row>12</xdr:row>
      <xdr:rowOff>63500</xdr:rowOff>
    </xdr:from>
    <xdr:to>
      <xdr:col>8</xdr:col>
      <xdr:colOff>1</xdr:colOff>
      <xdr:row>21</xdr:row>
      <xdr:rowOff>38100</xdr:rowOff>
    </xdr:to>
    <xdr:sp macro="" textlink="">
      <xdr:nvSpPr>
        <xdr:cNvPr id="2" name="Left Arrow Callou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168651" y="2546350"/>
          <a:ext cx="1854200" cy="1708150"/>
        </a:xfrm>
        <a:prstGeom prst="leftArrowCallout">
          <a:avLst/>
        </a:prstGeom>
        <a:solidFill>
          <a:schemeClr val="accent6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CA" sz="1200" b="1">
              <a:latin typeface="Arial Narrow" panose="020B0606020202030204" pitchFamily="34" charset="0"/>
            </a:rPr>
            <a:t>Check</a:t>
          </a:r>
          <a:r>
            <a:rPr lang="en-CA" sz="1200" b="1" baseline="0">
              <a:latin typeface="Arial Narrow" panose="020B0606020202030204" pitchFamily="34" charset="0"/>
            </a:rPr>
            <a:t> your units!</a:t>
          </a:r>
        </a:p>
        <a:p>
          <a:pPr algn="l"/>
          <a:endParaRPr lang="en-CA" sz="1200" baseline="0">
            <a:latin typeface="Arial Narrow" panose="020B0606020202030204" pitchFamily="34" charset="0"/>
          </a:endParaRPr>
        </a:p>
        <a:p>
          <a:pPr algn="l"/>
          <a:r>
            <a:rPr lang="en-CA" sz="1200" baseline="0">
              <a:latin typeface="Arial Narrow" panose="020B0606020202030204" pitchFamily="34" charset="0"/>
            </a:rPr>
            <a:t>Use these unit conversion tables to convert your measurements into those used in the sizing tool. </a:t>
          </a:r>
          <a:endParaRPr lang="en-CA" sz="1200"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8</xdr:col>
      <xdr:colOff>352425</xdr:colOff>
      <xdr:row>1</xdr:row>
      <xdr:rowOff>66675</xdr:rowOff>
    </xdr:from>
    <xdr:to>
      <xdr:col>11</xdr:col>
      <xdr:colOff>123825</xdr:colOff>
      <xdr:row>3</xdr:row>
      <xdr:rowOff>163830</xdr:rowOff>
    </xdr:to>
    <xdr:sp macro="" textlink="">
      <xdr:nvSpPr>
        <xdr:cNvPr id="3" name="Flowchart: Alternate Process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5553075" y="247650"/>
          <a:ext cx="1828800" cy="640080"/>
        </a:xfrm>
        <a:prstGeom prst="flowChartAlternateProcess">
          <a:avLst/>
        </a:prstGeom>
        <a:solidFill>
          <a:schemeClr val="accent5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CA" sz="1400" baseline="0"/>
            <a:t>Back to Sizing Tool</a:t>
          </a:r>
          <a:endParaRPr lang="en-CA" sz="14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6</xdr:row>
      <xdr:rowOff>76200</xdr:rowOff>
    </xdr:from>
    <xdr:to>
      <xdr:col>8</xdr:col>
      <xdr:colOff>798785</xdr:colOff>
      <xdr:row>37</xdr:row>
      <xdr:rowOff>14223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603250"/>
          <a:ext cx="5345385" cy="5449824"/>
        </a:xfrm>
        <a:prstGeom prst="rect">
          <a:avLst/>
        </a:prstGeom>
      </xdr:spPr>
    </xdr:pic>
    <xdr:clientData/>
  </xdr:twoCellAnchor>
  <xdr:twoCellAnchor editAs="oneCell">
    <xdr:from>
      <xdr:col>23</xdr:col>
      <xdr:colOff>82549</xdr:colOff>
      <xdr:row>6</xdr:row>
      <xdr:rowOff>76199</xdr:rowOff>
    </xdr:from>
    <xdr:to>
      <xdr:col>31</xdr:col>
      <xdr:colOff>268568</xdr:colOff>
      <xdr:row>37</xdr:row>
      <xdr:rowOff>14222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516099" y="603249"/>
          <a:ext cx="5469219" cy="5449824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6</xdr:row>
      <xdr:rowOff>63501</xdr:rowOff>
    </xdr:from>
    <xdr:to>
      <xdr:col>22</xdr:col>
      <xdr:colOff>588169</xdr:colOff>
      <xdr:row>37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803900" y="590551"/>
          <a:ext cx="8512969" cy="5448300"/>
        </a:xfrm>
        <a:prstGeom prst="rect">
          <a:avLst/>
        </a:prstGeom>
      </xdr:spPr>
    </xdr:pic>
    <xdr:clientData/>
  </xdr:twoCellAnchor>
  <xdr:twoCellAnchor>
    <xdr:from>
      <xdr:col>13</xdr:col>
      <xdr:colOff>12700</xdr:colOff>
      <xdr:row>26</xdr:row>
      <xdr:rowOff>171450</xdr:rowOff>
    </xdr:from>
    <xdr:to>
      <xdr:col>18</xdr:col>
      <xdr:colOff>508000</xdr:colOff>
      <xdr:row>26</xdr:row>
      <xdr:rowOff>171450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CxnSpPr/>
      </xdr:nvCxnSpPr>
      <xdr:spPr>
        <a:xfrm>
          <a:off x="7813174" y="4238792"/>
          <a:ext cx="3803984" cy="0"/>
        </a:xfrm>
        <a:prstGeom prst="line">
          <a:avLst/>
        </a:prstGeom>
        <a:ln w="57150">
          <a:solidFill>
            <a:schemeClr val="bg2">
              <a:lumMod val="25000"/>
            </a:schemeClr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87086</xdr:colOff>
      <xdr:row>27</xdr:row>
      <xdr:rowOff>908</xdr:rowOff>
    </xdr:from>
    <xdr:to>
      <xdr:col>19</xdr:col>
      <xdr:colOff>544286</xdr:colOff>
      <xdr:row>27</xdr:row>
      <xdr:rowOff>908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CxnSpPr/>
      </xdr:nvCxnSpPr>
      <xdr:spPr>
        <a:xfrm>
          <a:off x="11836400" y="4260851"/>
          <a:ext cx="457200" cy="0"/>
        </a:xfrm>
        <a:prstGeom prst="line">
          <a:avLst/>
        </a:prstGeom>
        <a:ln w="57150">
          <a:solidFill>
            <a:schemeClr val="bg2">
              <a:lumMod val="25000"/>
            </a:schemeClr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388937</xdr:colOff>
      <xdr:row>27</xdr:row>
      <xdr:rowOff>101599</xdr:rowOff>
    </xdr:from>
    <xdr:to>
      <xdr:col>30</xdr:col>
      <xdr:colOff>369316</xdr:colOff>
      <xdr:row>27</xdr:row>
      <xdr:rowOff>101599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CxnSpPr/>
      </xdr:nvCxnSpPr>
      <xdr:spPr>
        <a:xfrm>
          <a:off x="17506156" y="4379912"/>
          <a:ext cx="1956816" cy="0"/>
        </a:xfrm>
        <a:prstGeom prst="line">
          <a:avLst/>
        </a:prstGeom>
        <a:ln w="57150">
          <a:solidFill>
            <a:schemeClr val="bg2">
              <a:lumMod val="25000"/>
            </a:schemeClr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638968</xdr:colOff>
      <xdr:row>27</xdr:row>
      <xdr:rowOff>95249</xdr:rowOff>
    </xdr:from>
    <xdr:to>
      <xdr:col>26</xdr:col>
      <xdr:colOff>619347</xdr:colOff>
      <xdr:row>27</xdr:row>
      <xdr:rowOff>99218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CxnSpPr/>
      </xdr:nvCxnSpPr>
      <xdr:spPr>
        <a:xfrm>
          <a:off x="15120937" y="4373562"/>
          <a:ext cx="1956816" cy="3969"/>
        </a:xfrm>
        <a:prstGeom prst="line">
          <a:avLst/>
        </a:prstGeom>
        <a:ln w="57150">
          <a:solidFill>
            <a:schemeClr val="bg2">
              <a:lumMod val="25000"/>
            </a:schemeClr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120650</xdr:colOff>
      <xdr:row>27</xdr:row>
      <xdr:rowOff>69850</xdr:rowOff>
    </xdr:from>
    <xdr:to>
      <xdr:col>8</xdr:col>
      <xdr:colOff>107950</xdr:colOff>
      <xdr:row>27</xdr:row>
      <xdr:rowOff>69850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CxnSpPr/>
      </xdr:nvCxnSpPr>
      <xdr:spPr>
        <a:xfrm>
          <a:off x="933450" y="4330700"/>
          <a:ext cx="3949700" cy="0"/>
        </a:xfrm>
        <a:prstGeom prst="line">
          <a:avLst/>
        </a:prstGeom>
        <a:ln w="12700">
          <a:prstDash val="lg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273050</xdr:colOff>
      <xdr:row>27</xdr:row>
      <xdr:rowOff>69850</xdr:rowOff>
    </xdr:from>
    <xdr:to>
      <xdr:col>3</xdr:col>
      <xdr:colOff>273050</xdr:colOff>
      <xdr:row>28</xdr:row>
      <xdr:rowOff>82550</xdr:rowOff>
    </xdr:to>
    <xdr:cxnSp macro="">
      <xdr:nvCxnSpPr>
        <xdr:cNvPr id="16" name="Straight Arrow Connector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CxnSpPr/>
      </xdr:nvCxnSpPr>
      <xdr:spPr>
        <a:xfrm>
          <a:off x="1746250" y="4330700"/>
          <a:ext cx="0" cy="19050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6350</xdr:colOff>
      <xdr:row>19</xdr:row>
      <xdr:rowOff>63500</xdr:rowOff>
    </xdr:from>
    <xdr:to>
      <xdr:col>19</xdr:col>
      <xdr:colOff>570230</xdr:colOff>
      <xdr:row>19</xdr:row>
      <xdr:rowOff>63500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CxnSpPr/>
      </xdr:nvCxnSpPr>
      <xdr:spPr>
        <a:xfrm>
          <a:off x="7791450" y="2901950"/>
          <a:ext cx="4526280" cy="0"/>
        </a:xfrm>
        <a:prstGeom prst="line">
          <a:avLst/>
        </a:prstGeom>
        <a:ln w="12700">
          <a:prstDash val="lg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634999</xdr:colOff>
      <xdr:row>20</xdr:row>
      <xdr:rowOff>12699</xdr:rowOff>
    </xdr:from>
    <xdr:to>
      <xdr:col>30</xdr:col>
      <xdr:colOff>355599</xdr:colOff>
      <xdr:row>20</xdr:row>
      <xdr:rowOff>12699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CxnSpPr/>
      </xdr:nvCxnSpPr>
      <xdr:spPr>
        <a:xfrm>
          <a:off x="15151099" y="3028949"/>
          <a:ext cx="4343400" cy="0"/>
        </a:xfrm>
        <a:prstGeom prst="line">
          <a:avLst/>
        </a:prstGeom>
        <a:ln w="12700">
          <a:prstDash val="lg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266700</xdr:colOff>
      <xdr:row>19</xdr:row>
      <xdr:rowOff>63501</xdr:rowOff>
    </xdr:from>
    <xdr:to>
      <xdr:col>19</xdr:col>
      <xdr:colOff>266700</xdr:colOff>
      <xdr:row>20</xdr:row>
      <xdr:rowOff>160021</xdr:rowOff>
    </xdr:to>
    <xdr:cxnSp macro="">
      <xdr:nvCxnSpPr>
        <xdr:cNvPr id="19" name="Straight Arrow Connector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CxnSpPr/>
      </xdr:nvCxnSpPr>
      <xdr:spPr>
        <a:xfrm>
          <a:off x="12014200" y="2901951"/>
          <a:ext cx="0" cy="27432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74335</xdr:colOff>
      <xdr:row>20</xdr:row>
      <xdr:rowOff>6349</xdr:rowOff>
    </xdr:from>
    <xdr:to>
      <xdr:col>24</xdr:col>
      <xdr:colOff>74335</xdr:colOff>
      <xdr:row>21</xdr:row>
      <xdr:rowOff>102869</xdr:rowOff>
    </xdr:to>
    <xdr:cxnSp macro="">
      <xdr:nvCxnSpPr>
        <xdr:cNvPr id="20" name="Straight Arrow Connector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CxnSpPr/>
      </xdr:nvCxnSpPr>
      <xdr:spPr>
        <a:xfrm>
          <a:off x="15187335" y="3046878"/>
          <a:ext cx="0" cy="275815"/>
        </a:xfrm>
        <a:prstGeom prst="straightConnector1">
          <a:avLst/>
        </a:prstGeom>
        <a:ln>
          <a:solidFill>
            <a:schemeClr val="bg1"/>
          </a:solidFill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311150</xdr:colOff>
      <xdr:row>28</xdr:row>
      <xdr:rowOff>82550</xdr:rowOff>
    </xdr:from>
    <xdr:to>
      <xdr:col>3</xdr:col>
      <xdr:colOff>254000</xdr:colOff>
      <xdr:row>31</xdr:row>
      <xdr:rowOff>38100</xdr:rowOff>
    </xdr:to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 txBox="1"/>
      </xdr:nvSpPr>
      <xdr:spPr>
        <a:xfrm>
          <a:off x="463550" y="4521200"/>
          <a:ext cx="1263650" cy="488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CA" sz="1200"/>
            <a:t>surface</a:t>
          </a:r>
          <a:r>
            <a:rPr lang="en-CA" sz="1200" baseline="0"/>
            <a:t> ponding depth</a:t>
          </a:r>
          <a:endParaRPr lang="en-CA" sz="1200"/>
        </a:p>
      </xdr:txBody>
    </xdr:sp>
    <xdr:clientData/>
  </xdr:twoCellAnchor>
  <xdr:twoCellAnchor>
    <xdr:from>
      <xdr:col>2</xdr:col>
      <xdr:colOff>635000</xdr:colOff>
      <xdr:row>28</xdr:row>
      <xdr:rowOff>6350</xdr:rowOff>
    </xdr:from>
    <xdr:to>
      <xdr:col>3</xdr:col>
      <xdr:colOff>222250</xdr:colOff>
      <xdr:row>28</xdr:row>
      <xdr:rowOff>171450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CxnSpPr/>
      </xdr:nvCxnSpPr>
      <xdr:spPr>
        <a:xfrm flipV="1">
          <a:off x="1447800" y="4445000"/>
          <a:ext cx="247650" cy="1651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584200</xdr:colOff>
      <xdr:row>18</xdr:row>
      <xdr:rowOff>63499</xdr:rowOff>
    </xdr:from>
    <xdr:to>
      <xdr:col>22</xdr:col>
      <xdr:colOff>508000</xdr:colOff>
      <xdr:row>20</xdr:row>
      <xdr:rowOff>76200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 txBox="1"/>
      </xdr:nvSpPr>
      <xdr:spPr>
        <a:xfrm>
          <a:off x="12331700" y="2724149"/>
          <a:ext cx="1905000" cy="3683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CA" sz="1200"/>
            <a:t>surface</a:t>
          </a:r>
          <a:r>
            <a:rPr lang="en-CA" sz="1200" baseline="0"/>
            <a:t> ponding depth</a:t>
          </a:r>
          <a:endParaRPr lang="en-CA" sz="1200"/>
        </a:p>
      </xdr:txBody>
    </xdr:sp>
    <xdr:clientData/>
  </xdr:twoCellAnchor>
  <xdr:twoCellAnchor>
    <xdr:from>
      <xdr:col>19</xdr:col>
      <xdr:colOff>342900</xdr:colOff>
      <xdr:row>19</xdr:row>
      <xdr:rowOff>44451</xdr:rowOff>
    </xdr:from>
    <xdr:to>
      <xdr:col>20</xdr:col>
      <xdr:colOff>48260</xdr:colOff>
      <xdr:row>20</xdr:row>
      <xdr:rowOff>31751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CxnSpPr/>
      </xdr:nvCxnSpPr>
      <xdr:spPr>
        <a:xfrm flipV="1">
          <a:off x="12090400" y="2882901"/>
          <a:ext cx="365760" cy="1651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249519</xdr:colOff>
      <xdr:row>16</xdr:row>
      <xdr:rowOff>132229</xdr:rowOff>
    </xdr:from>
    <xdr:to>
      <xdr:col>24</xdr:col>
      <xdr:colOff>590177</xdr:colOff>
      <xdr:row>20</xdr:row>
      <xdr:rowOff>156883</xdr:rowOff>
    </xdr:to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 txBox="1"/>
      </xdr:nvSpPr>
      <xdr:spPr>
        <a:xfrm>
          <a:off x="14705107" y="2455582"/>
          <a:ext cx="998070" cy="7418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CA" sz="1200">
              <a:solidFill>
                <a:schemeClr val="bg1"/>
              </a:solidFill>
            </a:rPr>
            <a:t>surface</a:t>
          </a:r>
          <a:r>
            <a:rPr lang="en-CA" sz="1200" baseline="0">
              <a:solidFill>
                <a:schemeClr val="bg1"/>
              </a:solidFill>
            </a:rPr>
            <a:t> ponding depth</a:t>
          </a:r>
          <a:endParaRPr lang="en-CA" sz="1200">
            <a:solidFill>
              <a:schemeClr val="bg1"/>
            </a:solidFill>
          </a:endParaRPr>
        </a:p>
      </xdr:txBody>
    </xdr:sp>
    <xdr:clientData/>
  </xdr:twoCellAnchor>
  <xdr:twoCellAnchor>
    <xdr:from>
      <xdr:col>10</xdr:col>
      <xdr:colOff>552450</xdr:colOff>
      <xdr:row>26</xdr:row>
      <xdr:rowOff>146049</xdr:rowOff>
    </xdr:from>
    <xdr:to>
      <xdr:col>12</xdr:col>
      <xdr:colOff>596900</xdr:colOff>
      <xdr:row>28</xdr:row>
      <xdr:rowOff>158750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SpPr txBox="1"/>
      </xdr:nvSpPr>
      <xdr:spPr>
        <a:xfrm>
          <a:off x="6356350" y="4229099"/>
          <a:ext cx="1365250" cy="3683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CA" sz="1200"/>
            <a:t>filter layer</a:t>
          </a:r>
        </a:p>
      </xdr:txBody>
    </xdr:sp>
    <xdr:clientData/>
  </xdr:twoCellAnchor>
  <xdr:twoCellAnchor>
    <xdr:from>
      <xdr:col>12</xdr:col>
      <xdr:colOff>247650</xdr:colOff>
      <xdr:row>27</xdr:row>
      <xdr:rowOff>0</xdr:rowOff>
    </xdr:from>
    <xdr:to>
      <xdr:col>13</xdr:col>
      <xdr:colOff>69850</xdr:colOff>
      <xdr:row>27</xdr:row>
      <xdr:rowOff>114300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CxnSpPr/>
      </xdr:nvCxnSpPr>
      <xdr:spPr>
        <a:xfrm flipV="1">
          <a:off x="7372350" y="4260850"/>
          <a:ext cx="482600" cy="1143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6349</xdr:colOff>
      <xdr:row>33</xdr:row>
      <xdr:rowOff>76199</xdr:rowOff>
    </xdr:from>
    <xdr:to>
      <xdr:col>25</xdr:col>
      <xdr:colOff>50799</xdr:colOff>
      <xdr:row>35</xdr:row>
      <xdr:rowOff>88900</xdr:rowOff>
    </xdr:to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SpPr txBox="1"/>
      </xdr:nvSpPr>
      <xdr:spPr>
        <a:xfrm>
          <a:off x="14522449" y="5403849"/>
          <a:ext cx="1365250" cy="3683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CA" sz="1200">
              <a:solidFill>
                <a:schemeClr val="bg1"/>
              </a:solidFill>
            </a:rPr>
            <a:t>filter layer</a:t>
          </a:r>
        </a:p>
      </xdr:txBody>
    </xdr:sp>
    <xdr:clientData/>
  </xdr:twoCellAnchor>
  <xdr:twoCellAnchor>
    <xdr:from>
      <xdr:col>24</xdr:col>
      <xdr:colOff>28574</xdr:colOff>
      <xdr:row>27</xdr:row>
      <xdr:rowOff>95250</xdr:rowOff>
    </xdr:from>
    <xdr:to>
      <xdr:col>24</xdr:col>
      <xdr:colOff>88900</xdr:colOff>
      <xdr:row>33</xdr:row>
      <xdr:rowOff>76199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CxnSpPr>
          <a:stCxn id="37" idx="0"/>
        </xdr:cNvCxnSpPr>
      </xdr:nvCxnSpPr>
      <xdr:spPr>
        <a:xfrm flipV="1">
          <a:off x="15205074" y="4356100"/>
          <a:ext cx="60326" cy="1047749"/>
        </a:xfrm>
        <a:prstGeom prst="line">
          <a:avLst/>
        </a:prstGeom>
        <a:ln>
          <a:solidFill>
            <a:schemeClr val="bg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31258</xdr:colOff>
      <xdr:row>27</xdr:row>
      <xdr:rowOff>136003</xdr:rowOff>
    </xdr:from>
    <xdr:to>
      <xdr:col>8</xdr:col>
      <xdr:colOff>61288</xdr:colOff>
      <xdr:row>29</xdr:row>
      <xdr:rowOff>40818</xdr:rowOff>
    </xdr:to>
    <xdr:sp macro="" textlink="">
      <xdr:nvSpPr>
        <xdr:cNvPr id="43" name="Right Triangle 42"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SpPr/>
      </xdr:nvSpPr>
      <xdr:spPr>
        <a:xfrm flipH="1">
          <a:off x="4139220" y="4356311"/>
          <a:ext cx="689453" cy="256507"/>
        </a:xfrm>
        <a:prstGeom prst="rtTriangle">
          <a:avLst/>
        </a:prstGeom>
        <a:noFill/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CA" sz="1100"/>
        </a:p>
      </xdr:txBody>
    </xdr:sp>
    <xdr:clientData/>
  </xdr:twoCellAnchor>
  <xdr:twoCellAnchor>
    <xdr:from>
      <xdr:col>8</xdr:col>
      <xdr:colOff>29308</xdr:colOff>
      <xdr:row>27</xdr:row>
      <xdr:rowOff>170961</xdr:rowOff>
    </xdr:from>
    <xdr:to>
      <xdr:col>8</xdr:col>
      <xdr:colOff>556846</xdr:colOff>
      <xdr:row>29</xdr:row>
      <xdr:rowOff>73269</xdr:rowOff>
    </xdr:to>
    <xdr:sp macro="" textlink="">
      <xdr:nvSpPr>
        <xdr:cNvPr id="44" name="TextBox 43">
          <a:extLst>
            <a:ext uri="{FF2B5EF4-FFF2-40B4-BE49-F238E27FC236}">
              <a16:creationId xmlns:a16="http://schemas.microsoft.com/office/drawing/2014/main" id="{00000000-0008-0000-0200-00002C000000}"/>
            </a:ext>
          </a:extLst>
        </xdr:cNvPr>
        <xdr:cNvSpPr txBox="1"/>
      </xdr:nvSpPr>
      <xdr:spPr>
        <a:xfrm>
          <a:off x="4796693" y="4391269"/>
          <a:ext cx="527538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CA" sz="1100">
              <a:solidFill>
                <a:schemeClr val="bg1"/>
              </a:solidFill>
            </a:rPr>
            <a:t>V=1</a:t>
          </a:r>
        </a:p>
      </xdr:txBody>
    </xdr:sp>
    <xdr:clientData/>
  </xdr:twoCellAnchor>
  <xdr:twoCellAnchor>
    <xdr:from>
      <xdr:col>7</xdr:col>
      <xdr:colOff>276469</xdr:colOff>
      <xdr:row>29</xdr:row>
      <xdr:rowOff>14165</xdr:rowOff>
    </xdr:from>
    <xdr:to>
      <xdr:col>8</xdr:col>
      <xdr:colOff>144584</xdr:colOff>
      <xdr:row>30</xdr:row>
      <xdr:rowOff>92319</xdr:rowOff>
    </xdr:to>
    <xdr:sp macro="" textlink="">
      <xdr:nvSpPr>
        <xdr:cNvPr id="45" name="TextBox 44">
          <a:extLst>
            <a:ext uri="{FF2B5EF4-FFF2-40B4-BE49-F238E27FC236}">
              <a16:creationId xmlns:a16="http://schemas.microsoft.com/office/drawing/2014/main" id="{00000000-0008-0000-0200-00002D000000}"/>
            </a:ext>
          </a:extLst>
        </xdr:cNvPr>
        <xdr:cNvSpPr txBox="1"/>
      </xdr:nvSpPr>
      <xdr:spPr>
        <a:xfrm>
          <a:off x="4391269" y="4630615"/>
          <a:ext cx="528515" cy="25595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CA" sz="1100">
              <a:solidFill>
                <a:schemeClr val="bg1"/>
              </a:solidFill>
            </a:rPr>
            <a:t>H</a:t>
          </a:r>
        </a:p>
      </xdr:txBody>
    </xdr:sp>
    <xdr:clientData/>
  </xdr:twoCellAnchor>
  <xdr:twoCellAnchor>
    <xdr:from>
      <xdr:col>0</xdr:col>
      <xdr:colOff>145676</xdr:colOff>
      <xdr:row>0</xdr:row>
      <xdr:rowOff>134471</xdr:rowOff>
    </xdr:from>
    <xdr:to>
      <xdr:col>3</xdr:col>
      <xdr:colOff>450476</xdr:colOff>
      <xdr:row>4</xdr:row>
      <xdr:rowOff>57375</xdr:rowOff>
    </xdr:to>
    <xdr:sp macro="" textlink="">
      <xdr:nvSpPr>
        <xdr:cNvPr id="27" name="Flowchart: Alternate Process 2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/>
      </xdr:nvSpPr>
      <xdr:spPr>
        <a:xfrm>
          <a:off x="145676" y="134471"/>
          <a:ext cx="1828800" cy="640080"/>
        </a:xfrm>
        <a:prstGeom prst="flowChartAlternateProcess">
          <a:avLst/>
        </a:prstGeom>
        <a:solidFill>
          <a:schemeClr val="accent5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CA" sz="1400" baseline="0"/>
            <a:t>Back to Sizing Tool</a:t>
          </a:r>
          <a:endParaRPr lang="en-CA" sz="14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7800975</xdr:colOff>
      <xdr:row>0</xdr:row>
      <xdr:rowOff>104775</xdr:rowOff>
    </xdr:from>
    <xdr:to>
      <xdr:col>6</xdr:col>
      <xdr:colOff>238125</xdr:colOff>
      <xdr:row>3</xdr:row>
      <xdr:rowOff>30480</xdr:rowOff>
    </xdr:to>
    <xdr:sp macro="" textlink="">
      <xdr:nvSpPr>
        <xdr:cNvPr id="2" name="Flowchart: Alternate Proces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8943975" y="104775"/>
          <a:ext cx="1828800" cy="640080"/>
        </a:xfrm>
        <a:prstGeom prst="flowChartAlternateProcess">
          <a:avLst/>
        </a:prstGeom>
        <a:solidFill>
          <a:schemeClr val="accent5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CA" sz="1400" baseline="0"/>
            <a:t>Back to Sizing Tool</a:t>
          </a:r>
          <a:endParaRPr lang="en-CA" sz="14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EPCOR Brand Colour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233A81"/>
      </a:accent1>
      <a:accent2>
        <a:srgbClr val="EB8023"/>
      </a:accent2>
      <a:accent3>
        <a:srgbClr val="929191"/>
      </a:accent3>
      <a:accent4>
        <a:srgbClr val="F5CC00"/>
      </a:accent4>
      <a:accent5>
        <a:srgbClr val="0099D7"/>
      </a:accent5>
      <a:accent6>
        <a:srgbClr val="58B221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N67"/>
  <sheetViews>
    <sheetView showGridLines="0" showRowColHeaders="0" tabSelected="1" workbookViewId="0" xr3:uid="{AEA406A1-0E4B-5B11-9CD5-51D6E497D94C}">
      <selection activeCell="D11" sqref="D11"/>
    </sheetView>
  </sheetViews>
  <sheetFormatPr defaultColWidth="9" defaultRowHeight="14.1"/>
  <cols>
    <col min="1" max="1" width="5.375" style="1" customWidth="1"/>
    <col min="2" max="2" width="5.375" style="1" hidden="1" customWidth="1"/>
    <col min="3" max="3" width="38.625" style="1" customWidth="1"/>
    <col min="4" max="4" width="14.625" style="1" customWidth="1"/>
    <col min="5" max="5" width="78.875" style="1" bestFit="1" customWidth="1"/>
    <col min="6" max="6" width="8.25" style="1" customWidth="1"/>
    <col min="7" max="16384" width="9" style="1"/>
  </cols>
  <sheetData>
    <row r="2" spans="3:14" ht="27.95">
      <c r="C2" s="38" t="s">
        <v>0</v>
      </c>
    </row>
    <row r="3" spans="3:14" ht="15.6" customHeight="1">
      <c r="C3" s="2"/>
    </row>
    <row r="4" spans="3:14" ht="15.6" customHeight="1">
      <c r="C4" s="9" t="s">
        <v>1</v>
      </c>
    </row>
    <row r="5" spans="3:14" ht="15.6" customHeight="1">
      <c r="C5" s="39" t="s">
        <v>2</v>
      </c>
    </row>
    <row r="6" spans="3:14" ht="15.6" customHeight="1">
      <c r="C6" s="39" t="s">
        <v>3</v>
      </c>
    </row>
    <row r="7" spans="3:14" ht="15.6" customHeight="1">
      <c r="C7" s="39" t="s">
        <v>4</v>
      </c>
    </row>
    <row r="8" spans="3:14" ht="15.6" customHeight="1">
      <c r="C8" s="2"/>
    </row>
    <row r="9" spans="3:14" ht="15.6" hidden="1">
      <c r="C9" s="4" t="s">
        <v>5</v>
      </c>
      <c r="D9" s="12">
        <v>18</v>
      </c>
      <c r="E9" s="6" t="s">
        <v>6</v>
      </c>
    </row>
    <row r="10" spans="3:14" ht="15.6" customHeight="1">
      <c r="C10" s="3"/>
      <c r="D10" s="13"/>
      <c r="E10" s="8" t="s">
        <v>7</v>
      </c>
      <c r="F10" s="6"/>
      <c r="G10"/>
      <c r="H10"/>
      <c r="I10"/>
      <c r="J10"/>
      <c r="K10"/>
      <c r="L10"/>
      <c r="M10"/>
      <c r="N10"/>
    </row>
    <row r="11" spans="3:14" ht="15.6" customHeight="1">
      <c r="C11" s="10" t="s">
        <v>8</v>
      </c>
      <c r="D11" s="41" t="s">
        <v>9</v>
      </c>
      <c r="E11" s="27" t="s">
        <v>10</v>
      </c>
      <c r="F11" s="6"/>
      <c r="G11" s="9" t="s">
        <v>11</v>
      </c>
      <c r="H11"/>
      <c r="I11"/>
      <c r="J11"/>
      <c r="K11"/>
      <c r="L11"/>
      <c r="M11"/>
      <c r="N11"/>
    </row>
    <row r="12" spans="3:14" ht="15.6" customHeight="1">
      <c r="C12" s="10" t="s">
        <v>12</v>
      </c>
      <c r="D12" s="41">
        <v>50</v>
      </c>
      <c r="E12" s="27" t="s">
        <v>13</v>
      </c>
      <c r="G12" s="40" t="s">
        <v>14</v>
      </c>
      <c r="H12"/>
      <c r="I12"/>
      <c r="J12"/>
      <c r="K12"/>
      <c r="L12"/>
      <c r="M12"/>
      <c r="N12"/>
    </row>
    <row r="13" spans="3:14" ht="15.6" hidden="1">
      <c r="C13" s="10" t="s">
        <v>15</v>
      </c>
      <c r="D13" s="28">
        <v>1</v>
      </c>
      <c r="E13" s="27" t="s">
        <v>6</v>
      </c>
      <c r="F13" s="5"/>
      <c r="G13"/>
      <c r="H13"/>
      <c r="I13"/>
      <c r="J13"/>
      <c r="K13"/>
      <c r="L13"/>
      <c r="M13"/>
      <c r="N13"/>
    </row>
    <row r="14" spans="3:14" ht="15.6" hidden="1">
      <c r="C14" s="10" t="s">
        <v>16</v>
      </c>
      <c r="D14" s="29">
        <f>0.95*D13+0.1*(1-D13)</f>
        <v>0.95</v>
      </c>
      <c r="E14" s="27" t="s">
        <v>6</v>
      </c>
      <c r="F14" s="5"/>
      <c r="G14"/>
      <c r="H14"/>
      <c r="I14"/>
      <c r="J14"/>
      <c r="K14"/>
      <c r="L14"/>
      <c r="M14"/>
      <c r="N14"/>
    </row>
    <row r="15" spans="3:14" ht="15.6" hidden="1">
      <c r="C15" s="10" t="s">
        <v>17</v>
      </c>
      <c r="D15" s="29">
        <f>D12*D14*(D9/1000)+(D20*(D9/1000))</f>
        <v>1.071</v>
      </c>
      <c r="E15" s="27" t="s">
        <v>6</v>
      </c>
      <c r="F15" s="5"/>
      <c r="G15"/>
      <c r="H15"/>
      <c r="I15"/>
      <c r="J15"/>
      <c r="K15"/>
      <c r="L15"/>
      <c r="M15"/>
      <c r="N15"/>
    </row>
    <row r="16" spans="3:14" ht="15.6" customHeight="1">
      <c r="C16" s="10" t="s">
        <v>18</v>
      </c>
      <c r="D16" s="36">
        <f>D15*1000</f>
        <v>1071</v>
      </c>
      <c r="E16" s="27" t="s">
        <v>19</v>
      </c>
      <c r="F16" s="5"/>
      <c r="G16" s="20" t="s">
        <v>20</v>
      </c>
      <c r="I16" s="34">
        <f>D35*D36*(D32/1000)*1.30795</f>
        <v>1.5670287359999999</v>
      </c>
      <c r="J16" s="20" t="s">
        <v>21</v>
      </c>
      <c r="K16"/>
      <c r="L16"/>
      <c r="M16"/>
      <c r="N16"/>
    </row>
    <row r="17" spans="2:14" ht="15.6" customHeight="1">
      <c r="C17" s="10"/>
      <c r="D17" s="16"/>
      <c r="E17" s="7"/>
      <c r="F17" s="5"/>
      <c r="G17" s="20" t="s">
        <v>22</v>
      </c>
      <c r="I17" s="34">
        <f>D20*(D25/1000)*1.30795</f>
        <v>1.2556319999999999</v>
      </c>
      <c r="J17" s="20" t="s">
        <v>21</v>
      </c>
      <c r="K17"/>
      <c r="L17"/>
      <c r="M17"/>
      <c r="N17"/>
    </row>
    <row r="18" spans="2:14" ht="15.6" customHeight="1">
      <c r="B18" s="1" t="s">
        <v>23</v>
      </c>
      <c r="C18" s="10" t="str">
        <f>IF(D11="Box Planter", "Interior Width of Box Planter (m)", "Surface Width of Rain Garden (m)")</f>
        <v>Surface Width of Rain Garden (m)</v>
      </c>
      <c r="D18" s="42">
        <v>4</v>
      </c>
      <c r="E18" s="27"/>
      <c r="F18" s="5"/>
      <c r="G18" s="20" t="s">
        <v>24</v>
      </c>
      <c r="I18" s="34">
        <f>IF(D11="Rain Garden",D35*D36*(D42/1000)*1.30795,D18*D19*(D42/1000)*1.30795)</f>
        <v>0</v>
      </c>
      <c r="J18" s="20" t="s">
        <v>21</v>
      </c>
      <c r="K18"/>
      <c r="L18"/>
      <c r="M18"/>
      <c r="N18"/>
    </row>
    <row r="19" spans="2:14" ht="15.6" customHeight="1">
      <c r="B19" s="1" t="s">
        <v>23</v>
      </c>
      <c r="C19" s="10" t="str">
        <f>IF(D11="Box Planter", "Interior Length of Box Planter (m)", "Surface Length of Rain Garden (m)")</f>
        <v>Surface Length of Rain Garden (m)</v>
      </c>
      <c r="D19" s="42">
        <v>3</v>
      </c>
      <c r="E19" s="27"/>
      <c r="F19" s="5"/>
      <c r="G19" s="20" t="s">
        <v>25</v>
      </c>
      <c r="I19" s="34">
        <f>IF(D11="Rain Garden",D35*D36*(D45/1000)*1.30795,D18*D19*(D45/1000)*1.30795)</f>
        <v>0</v>
      </c>
      <c r="J19" s="20" t="s">
        <v>21</v>
      </c>
      <c r="K19"/>
      <c r="L19"/>
      <c r="M19"/>
      <c r="N19"/>
    </row>
    <row r="20" spans="2:14" ht="15.6" customHeight="1">
      <c r="C20" s="10" t="str">
        <f>IF(D11="Box Planter", "Surface Area of Box Planter (m2)", "Surface Area of Rain Garden (m2)")</f>
        <v>Surface Area of Rain Garden (m2)</v>
      </c>
      <c r="D20" s="35">
        <f>D18*D19</f>
        <v>12</v>
      </c>
      <c r="E20" s="27"/>
      <c r="F20" s="5"/>
      <c r="G20"/>
      <c r="H20"/>
      <c r="I20"/>
      <c r="J20"/>
      <c r="K20"/>
      <c r="L20"/>
      <c r="M20"/>
      <c r="N20"/>
    </row>
    <row r="21" spans="2:14" ht="15.6" customHeight="1">
      <c r="C21" s="11"/>
      <c r="D21" s="43"/>
      <c r="E21"/>
      <c r="F21" s="5"/>
      <c r="G21"/>
      <c r="H21"/>
      <c r="I21"/>
      <c r="J21"/>
      <c r="K21"/>
      <c r="L21"/>
      <c r="M21"/>
      <c r="N21"/>
    </row>
    <row r="22" spans="2:14" ht="15.6" customHeight="1">
      <c r="C22" s="56" t="s">
        <v>26</v>
      </c>
      <c r="D22" s="53">
        <v>100</v>
      </c>
      <c r="E22" s="50" t="s">
        <v>27</v>
      </c>
      <c r="F22" s="5"/>
      <c r="G22"/>
      <c r="H22"/>
      <c r="I22"/>
      <c r="J22"/>
      <c r="K22"/>
      <c r="L22"/>
      <c r="M22"/>
      <c r="N22"/>
    </row>
    <row r="23" spans="2:14" ht="15.6" customHeight="1">
      <c r="C23" s="56"/>
      <c r="D23" s="54"/>
      <c r="E23" s="51"/>
      <c r="F23" s="5"/>
      <c r="G23"/>
      <c r="H23"/>
      <c r="I23"/>
      <c r="J23"/>
      <c r="K23"/>
      <c r="L23"/>
      <c r="M23"/>
      <c r="N23"/>
    </row>
    <row r="24" spans="2:14" ht="15.6" customHeight="1">
      <c r="C24" s="56"/>
      <c r="D24" s="55"/>
      <c r="E24" s="52"/>
      <c r="F24" s="5"/>
      <c r="G24"/>
      <c r="H24"/>
      <c r="I24"/>
      <c r="J24"/>
      <c r="K24"/>
      <c r="L24"/>
      <c r="M24"/>
      <c r="N24"/>
    </row>
    <row r="25" spans="2:14" ht="15.6" hidden="1">
      <c r="C25" s="10" t="s">
        <v>28</v>
      </c>
      <c r="D25" s="26">
        <v>80</v>
      </c>
      <c r="E25" s="27" t="s">
        <v>6</v>
      </c>
      <c r="F25" s="5"/>
      <c r="G25"/>
      <c r="H25"/>
      <c r="I25"/>
      <c r="J25"/>
      <c r="K25"/>
      <c r="L25"/>
      <c r="M25"/>
      <c r="N25"/>
    </row>
    <row r="26" spans="2:14" ht="15.6" customHeight="1">
      <c r="C26" s="59" t="s">
        <v>29</v>
      </c>
      <c r="D26" s="53">
        <v>4</v>
      </c>
      <c r="E26" s="58" t="s">
        <v>30</v>
      </c>
      <c r="F26" s="5"/>
      <c r="G26"/>
      <c r="H26"/>
      <c r="I26"/>
      <c r="J26"/>
      <c r="K26"/>
      <c r="L26"/>
      <c r="M26"/>
      <c r="N26"/>
    </row>
    <row r="27" spans="2:14" ht="15.6" customHeight="1">
      <c r="C27" s="59"/>
      <c r="D27" s="55"/>
      <c r="E27" s="58"/>
      <c r="F27" s="5"/>
      <c r="G27"/>
      <c r="H27"/>
      <c r="I27"/>
      <c r="J27"/>
      <c r="K27"/>
      <c r="L27"/>
      <c r="M27"/>
      <c r="N27"/>
    </row>
    <row r="28" spans="2:14" ht="15.6" hidden="1">
      <c r="B28" s="1" t="s">
        <v>31</v>
      </c>
      <c r="C28" s="10" t="str">
        <f>IF(D11="Box Planter","Bottom Width of Box Planter Ponding (m)","Bottom Width of Rain Garden Ponding (m)")</f>
        <v>Bottom Width of Rain Garden Ponding (m)</v>
      </c>
      <c r="D28" s="21">
        <f>IF(D11="Rain Garden",(D18-(2*D26*(D22/1000))),D18)</f>
        <v>3.2</v>
      </c>
      <c r="E28" s="22" t="s">
        <v>6</v>
      </c>
      <c r="F28" s="5"/>
      <c r="G28"/>
      <c r="H28"/>
      <c r="I28"/>
      <c r="J28"/>
      <c r="K28"/>
      <c r="L28"/>
      <c r="M28"/>
      <c r="N28"/>
    </row>
    <row r="29" spans="2:14" ht="15.6" hidden="1">
      <c r="B29" s="1" t="s">
        <v>31</v>
      </c>
      <c r="C29" s="10" t="str">
        <f>IF(D11="Rain Garden","Bottom Length of Rain Garden Ponding (m)","Bottom Length of Box Planter Ponding (m)")</f>
        <v>Bottom Length of Rain Garden Ponding (m)</v>
      </c>
      <c r="D29" s="14">
        <f>IF(D11="Rain Garden",(D19-(2*D26*(D22/1000))),D19)</f>
        <v>2.2000000000000002</v>
      </c>
      <c r="E29" s="18" t="s">
        <v>6</v>
      </c>
      <c r="F29" s="5"/>
      <c r="G29"/>
      <c r="H29"/>
      <c r="I29"/>
      <c r="J29"/>
      <c r="K29"/>
      <c r="L29"/>
      <c r="M29"/>
      <c r="N29"/>
    </row>
    <row r="30" spans="2:14" ht="15.6" hidden="1">
      <c r="C30" s="10" t="s">
        <v>32</v>
      </c>
      <c r="D30" s="17">
        <v>0.9</v>
      </c>
      <c r="E30" s="18" t="s">
        <v>6</v>
      </c>
      <c r="F30" s="5"/>
      <c r="G30"/>
      <c r="H30"/>
      <c r="I30"/>
      <c r="J30"/>
      <c r="K30"/>
      <c r="L30"/>
      <c r="M30"/>
      <c r="N30"/>
    </row>
    <row r="31" spans="2:14" ht="15.6" hidden="1">
      <c r="C31" s="10" t="s">
        <v>33</v>
      </c>
      <c r="D31" s="15">
        <f>IF(D11="Rain Garden",((D18+D28)/2)*((D19+D29)/2)*(D22/1000)*D30,((D20*D22*D30)/1000))</f>
        <v>0.84240000000000015</v>
      </c>
      <c r="E31" s="18" t="s">
        <v>6</v>
      </c>
      <c r="F31" s="5"/>
      <c r="G31"/>
      <c r="H31"/>
      <c r="I31"/>
      <c r="J31"/>
      <c r="K31"/>
      <c r="L31"/>
      <c r="M31"/>
      <c r="N31"/>
    </row>
    <row r="32" spans="2:14" ht="15.6" customHeight="1">
      <c r="C32" s="60" t="s">
        <v>34</v>
      </c>
      <c r="D32" s="53">
        <v>300</v>
      </c>
      <c r="E32" s="58" t="s">
        <v>35</v>
      </c>
      <c r="F32" s="5"/>
      <c r="G32"/>
      <c r="H32"/>
      <c r="I32"/>
      <c r="J32"/>
      <c r="K32"/>
      <c r="L32"/>
      <c r="M32"/>
      <c r="N32"/>
    </row>
    <row r="33" spans="2:14" ht="15.6" customHeight="1">
      <c r="C33" s="60"/>
      <c r="D33" s="54"/>
      <c r="E33" s="58"/>
      <c r="F33" s="5"/>
      <c r="G33"/>
      <c r="H33"/>
      <c r="I33"/>
      <c r="J33"/>
      <c r="K33"/>
      <c r="L33"/>
      <c r="M33"/>
      <c r="N33"/>
    </row>
    <row r="34" spans="2:14" ht="15.6" customHeight="1">
      <c r="C34" s="60"/>
      <c r="D34" s="55"/>
      <c r="E34" s="58"/>
      <c r="F34" s="5"/>
      <c r="G34"/>
      <c r="H34"/>
      <c r="I34"/>
      <c r="J34"/>
      <c r="K34"/>
      <c r="L34"/>
      <c r="M34"/>
      <c r="N34"/>
    </row>
    <row r="35" spans="2:14" ht="15.6" hidden="1">
      <c r="B35" s="1" t="s">
        <v>36</v>
      </c>
      <c r="C35" s="10" t="str">
        <f>IF(D11="Rain Garden","Top Width of Rain Garden Soil (m)","Top Width of Box Planter Soil (m)")</f>
        <v>Top Width of Rain Garden Soil (m)</v>
      </c>
      <c r="D35" s="30">
        <f>IF(D11="Rain Garden",(D28-(2*D26*D25/1000)),D18)</f>
        <v>2.56</v>
      </c>
      <c r="E35" s="27" t="s">
        <v>6</v>
      </c>
      <c r="F35" s="5"/>
      <c r="G35"/>
      <c r="H35"/>
      <c r="I35"/>
      <c r="J35"/>
      <c r="K35"/>
      <c r="L35"/>
      <c r="M35"/>
      <c r="N35"/>
    </row>
    <row r="36" spans="2:14" ht="15.6" hidden="1">
      <c r="B36" s="1" t="s">
        <v>36</v>
      </c>
      <c r="C36" s="10" t="str">
        <f>IF(D11="Rain Garden","Top Length of Rain Garden Soil (m)","Top Length of Box Planter Soil (m)")</f>
        <v>Top Length of Rain Garden Soil (m)</v>
      </c>
      <c r="D36" s="30">
        <f>IF(D11="Rain Garden",(D29-(2*D26*D25/1000)),D19)</f>
        <v>1.56</v>
      </c>
      <c r="E36" s="27" t="s">
        <v>6</v>
      </c>
      <c r="F36" s="5"/>
      <c r="G36"/>
      <c r="H36"/>
      <c r="I36"/>
      <c r="J36"/>
      <c r="K36"/>
      <c r="L36"/>
      <c r="M36"/>
      <c r="N36"/>
    </row>
    <row r="37" spans="2:14" ht="15.6" hidden="1">
      <c r="C37" s="10" t="s">
        <v>37</v>
      </c>
      <c r="D37" s="29" t="s">
        <v>38</v>
      </c>
      <c r="E37" s="27" t="s">
        <v>6</v>
      </c>
      <c r="F37" s="5"/>
      <c r="G37"/>
      <c r="H37"/>
      <c r="I37"/>
      <c r="J37"/>
      <c r="K37"/>
      <c r="L37"/>
      <c r="M37"/>
      <c r="N37"/>
    </row>
    <row r="38" spans="2:14" ht="15.6" hidden="1">
      <c r="C38" s="10" t="s">
        <v>39</v>
      </c>
      <c r="D38" s="29">
        <f>IF(D37="Sandy Loam",15,30)</f>
        <v>15</v>
      </c>
      <c r="E38" s="27" t="s">
        <v>6</v>
      </c>
      <c r="F38" s="5"/>
      <c r="G38"/>
      <c r="H38"/>
      <c r="I38"/>
      <c r="J38"/>
      <c r="K38"/>
      <c r="L38"/>
      <c r="M38"/>
      <c r="N38"/>
    </row>
    <row r="39" spans="2:14" ht="15.6" hidden="1">
      <c r="C39" s="10" t="s">
        <v>40</v>
      </c>
      <c r="D39" s="29">
        <f>IF(D37="Sandy Loam",0.35,0.3)</f>
        <v>0.35</v>
      </c>
      <c r="E39" s="27" t="s">
        <v>6</v>
      </c>
      <c r="F39" s="5"/>
      <c r="G39"/>
      <c r="H39"/>
      <c r="I39"/>
      <c r="J39"/>
      <c r="K39"/>
      <c r="L39"/>
      <c r="M39"/>
      <c r="N39"/>
    </row>
    <row r="40" spans="2:14" ht="15.6" hidden="1">
      <c r="C40" s="10" t="s">
        <v>41</v>
      </c>
      <c r="D40" s="29">
        <f>IF(D37="Sandy Loam",0.16,0.105)</f>
        <v>0.16</v>
      </c>
      <c r="E40" s="27" t="s">
        <v>6</v>
      </c>
      <c r="F40" s="5"/>
      <c r="G40"/>
      <c r="H40"/>
      <c r="I40"/>
      <c r="J40"/>
      <c r="K40"/>
      <c r="L40"/>
      <c r="M40"/>
      <c r="N40"/>
    </row>
    <row r="41" spans="2:14" ht="15.6" hidden="1">
      <c r="C41" s="10" t="s">
        <v>42</v>
      </c>
      <c r="D41" s="29">
        <f>D35*D36*(D32/1000)*(D39-D40)</f>
        <v>0.22763519999999998</v>
      </c>
      <c r="E41" s="27" t="s">
        <v>6</v>
      </c>
      <c r="F41" s="5"/>
      <c r="G41"/>
      <c r="H41"/>
      <c r="I41"/>
      <c r="J41"/>
      <c r="K41"/>
      <c r="L41"/>
      <c r="M41"/>
      <c r="N41"/>
    </row>
    <row r="42" spans="2:14" ht="15.6" customHeight="1">
      <c r="C42" s="56" t="s">
        <v>43</v>
      </c>
      <c r="D42" s="53">
        <f>IF(D11="Rain Garden",0,100)</f>
        <v>0</v>
      </c>
      <c r="E42" s="50" t="s">
        <v>44</v>
      </c>
      <c r="F42" s="5"/>
      <c r="G42"/>
      <c r="H42"/>
      <c r="I42"/>
      <c r="J42"/>
      <c r="K42"/>
      <c r="L42"/>
      <c r="M42"/>
      <c r="N42"/>
    </row>
    <row r="43" spans="2:14" ht="15" customHeight="1">
      <c r="C43" s="56"/>
      <c r="D43" s="54"/>
      <c r="E43" s="51"/>
      <c r="F43" s="5"/>
      <c r="G43"/>
      <c r="H43"/>
      <c r="I43"/>
      <c r="J43"/>
      <c r="K43"/>
      <c r="L43"/>
      <c r="M43"/>
      <c r="N43"/>
    </row>
    <row r="44" spans="2:14" ht="15.6" customHeight="1">
      <c r="C44" s="56"/>
      <c r="D44" s="55"/>
      <c r="E44" s="52"/>
      <c r="F44" s="5"/>
    </row>
    <row r="45" spans="2:14" ht="15.6" customHeight="1">
      <c r="C45" s="61" t="s">
        <v>45</v>
      </c>
      <c r="D45" s="53">
        <v>0</v>
      </c>
      <c r="E45" s="50" t="s">
        <v>46</v>
      </c>
      <c r="F45" s="5"/>
      <c r="J45" s="19"/>
      <c r="K45" s="19"/>
    </row>
    <row r="46" spans="2:14" ht="15.6" customHeight="1">
      <c r="C46" s="61"/>
      <c r="D46" s="54"/>
      <c r="E46" s="51"/>
      <c r="F46" s="5"/>
      <c r="K46" s="19"/>
    </row>
    <row r="47" spans="2:14" ht="15.6" customHeight="1">
      <c r="C47" s="61"/>
      <c r="D47" s="57"/>
      <c r="E47" s="52"/>
      <c r="F47" s="5"/>
      <c r="K47" s="19"/>
    </row>
    <row r="48" spans="2:14" ht="15.6" hidden="1">
      <c r="C48" s="10" t="s">
        <v>47</v>
      </c>
      <c r="D48" s="23">
        <v>0.36</v>
      </c>
      <c r="E48" s="22" t="s">
        <v>6</v>
      </c>
      <c r="F48" s="5"/>
    </row>
    <row r="49" spans="3:11" ht="15.6" hidden="1">
      <c r="C49" s="10" t="s">
        <v>48</v>
      </c>
      <c r="D49" s="15">
        <f>IF(D11="Box Planter",(((D45*D18*D19)/1000)*D48),(((D45*D35*D36)/1000)*D48))</f>
        <v>0</v>
      </c>
      <c r="E49" s="18" t="s">
        <v>6</v>
      </c>
    </row>
    <row r="50" spans="3:11" customFormat="1" ht="15.6" customHeight="1">
      <c r="D50" s="32"/>
      <c r="G50" s="1"/>
      <c r="H50" s="1"/>
      <c r="I50" s="1"/>
      <c r="J50" s="1"/>
    </row>
    <row r="51" spans="3:11" ht="15.6" hidden="1">
      <c r="C51" s="10" t="s">
        <v>49</v>
      </c>
      <c r="D51" s="24">
        <f>D41+D31+D49</f>
        <v>1.0700352000000002</v>
      </c>
      <c r="E51" s="25" t="s">
        <v>6</v>
      </c>
      <c r="F51" s="5"/>
    </row>
    <row r="52" spans="3:11" ht="15.6" customHeight="1">
      <c r="C52" s="10" t="str">
        <f>IF(D11="Rain Garden","Estimated Storage of Rain Garden (L)","Estimated Storage of Box Planter (L)")</f>
        <v>Estimated Storage of Rain Garden (L)</v>
      </c>
      <c r="D52" s="36">
        <f>D51*1000</f>
        <v>1070.0352000000003</v>
      </c>
      <c r="E52" s="27"/>
      <c r="F52" s="5"/>
    </row>
    <row r="53" spans="3:11" ht="15.6" customHeight="1">
      <c r="C53" s="4" t="s">
        <v>50</v>
      </c>
      <c r="D53" s="37">
        <f>D52/D16</f>
        <v>0.99909915966386575</v>
      </c>
      <c r="E53" s="31" t="s">
        <v>51</v>
      </c>
      <c r="F53" s="5"/>
    </row>
    <row r="54" spans="3:11" ht="15.6">
      <c r="F54" s="5"/>
    </row>
    <row r="57" spans="3:11">
      <c r="H57"/>
    </row>
    <row r="63" spans="3:11" ht="15.6">
      <c r="K63" s="19"/>
    </row>
    <row r="64" spans="3:11" ht="15.6">
      <c r="K64" s="20"/>
    </row>
    <row r="67" spans="10:10" ht="15.6">
      <c r="J67" s="19"/>
    </row>
  </sheetData>
  <sheetProtection algorithmName="SHA-512" hashValue="J0rS4wq8EGvcrBwPw5JMw3WAt23IVDlkvBNW7B0S/YwXFnlgLJUNOfiQ4vgXn47+BjHe2WNa6OjJmpvD5v3anw==" saltValue="NzJNjNxtPd8lo6egVtLyaA==" spinCount="100000" sheet="1" objects="1" scenarios="1" selectLockedCells="1"/>
  <mergeCells count="15">
    <mergeCell ref="E22:E24"/>
    <mergeCell ref="D22:D24"/>
    <mergeCell ref="C22:C24"/>
    <mergeCell ref="E45:E47"/>
    <mergeCell ref="D45:D47"/>
    <mergeCell ref="E26:E27"/>
    <mergeCell ref="D26:D27"/>
    <mergeCell ref="C26:C27"/>
    <mergeCell ref="E32:E34"/>
    <mergeCell ref="D32:D34"/>
    <mergeCell ref="C32:C34"/>
    <mergeCell ref="E42:E44"/>
    <mergeCell ref="D42:D44"/>
    <mergeCell ref="C42:C44"/>
    <mergeCell ref="C45:C47"/>
  </mergeCells>
  <dataValidations count="3">
    <dataValidation type="list" allowBlank="1" showInputMessage="1" showErrorMessage="1" sqref="D37" xr:uid="{00000000-0002-0000-0000-000000000000}">
      <formula1>"Sandy Loam, Loam Sand"</formula1>
    </dataValidation>
    <dataValidation type="list" allowBlank="1" showInputMessage="1" showErrorMessage="1" error="Please select an option from the drop down menu." sqref="D11" xr:uid="{00000000-0002-0000-0000-000001000000}">
      <formula1>"Box Planter, Rain Garden"</formula1>
    </dataValidation>
    <dataValidation type="decimal" operator="greaterThanOrEqual" allowBlank="1" showInputMessage="1" showErrorMessage="1" error="Please enter a number that is 0 or greater." sqref="D12 D18:D19 D22 D26:D27 D32:D34 D45" xr:uid="{00000000-0002-0000-0000-000002000000}">
      <formula1>0</formula1>
    </dataValidation>
  </dataValidations>
  <pageMargins left="0.7" right="0.7" top="0.75" bottom="0.75" header="0.3" footer="0.3"/>
  <pageSetup orientation="portrait" r:id="rId1"/>
  <ignoredErrors>
    <ignoredError sqref="D42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2:K33"/>
  <sheetViews>
    <sheetView showGridLines="0" showRowColHeaders="0" workbookViewId="0" xr3:uid="{958C4451-9541-5A59-BF78-D2F731DF1C81}">
      <selection activeCell="B12" sqref="B12"/>
    </sheetView>
  </sheetViews>
  <sheetFormatPr defaultRowHeight="14.1"/>
  <cols>
    <col min="1" max="1" width="5.25" customWidth="1"/>
  </cols>
  <sheetData>
    <row r="2" spans="2:11" ht="27.95">
      <c r="B2" s="38" t="s">
        <v>52</v>
      </c>
      <c r="C2" s="1"/>
      <c r="D2" s="1"/>
      <c r="E2" s="1"/>
      <c r="F2" s="1"/>
      <c r="G2" s="1"/>
      <c r="H2" s="1"/>
      <c r="I2" s="1"/>
      <c r="J2" s="1"/>
      <c r="K2" s="1"/>
    </row>
    <row r="3" spans="2:11" ht="15.6" customHeight="1">
      <c r="B3" s="38"/>
      <c r="C3" s="1"/>
      <c r="D3" s="1"/>
      <c r="E3" s="1"/>
      <c r="F3" s="1"/>
      <c r="G3" s="1"/>
      <c r="H3" s="1"/>
      <c r="I3" s="1"/>
      <c r="J3" s="1"/>
      <c r="K3" s="1"/>
    </row>
    <row r="4" spans="2:11" ht="15.6">
      <c r="B4" s="9" t="s">
        <v>53</v>
      </c>
      <c r="C4" s="1"/>
      <c r="D4" s="1"/>
      <c r="E4" s="1"/>
      <c r="F4" s="1"/>
      <c r="G4" s="1"/>
      <c r="H4" s="1"/>
      <c r="I4" s="1"/>
      <c r="J4" s="1"/>
      <c r="K4" s="1"/>
    </row>
    <row r="5" spans="2:11" ht="15.6">
      <c r="B5" s="39" t="s">
        <v>54</v>
      </c>
      <c r="C5" s="1"/>
      <c r="D5" s="1"/>
      <c r="E5" s="1"/>
      <c r="F5" s="1"/>
      <c r="G5" s="1"/>
      <c r="H5" s="1"/>
      <c r="I5" s="1"/>
      <c r="J5" s="1"/>
      <c r="K5" s="1"/>
    </row>
    <row r="6" spans="2:11" ht="15.6">
      <c r="B6" s="39" t="s">
        <v>55</v>
      </c>
      <c r="C6" s="1"/>
      <c r="D6" s="1"/>
      <c r="E6" s="1"/>
      <c r="F6" s="1"/>
      <c r="G6" s="1"/>
      <c r="H6" s="1"/>
      <c r="I6" s="1"/>
      <c r="J6" s="1"/>
      <c r="K6" s="1"/>
    </row>
    <row r="7" spans="2:11" ht="15.6">
      <c r="B7" s="39" t="s">
        <v>56</v>
      </c>
      <c r="C7" s="1"/>
      <c r="D7" s="1"/>
      <c r="E7" s="1"/>
      <c r="F7" s="1"/>
      <c r="G7" s="1"/>
      <c r="H7" s="1"/>
      <c r="I7" s="1"/>
      <c r="J7" s="1"/>
      <c r="K7" s="1"/>
    </row>
    <row r="8" spans="2:11" ht="15.6">
      <c r="B8" s="39" t="s">
        <v>57</v>
      </c>
      <c r="C8" s="1"/>
      <c r="D8" s="1"/>
      <c r="E8" s="1"/>
      <c r="F8" s="1"/>
      <c r="G8" s="1"/>
      <c r="H8" s="1"/>
      <c r="I8" s="1"/>
      <c r="J8" s="1"/>
      <c r="K8" s="1"/>
    </row>
    <row r="9" spans="2:11" ht="15.6">
      <c r="B9" s="39" t="s">
        <v>58</v>
      </c>
      <c r="C9" s="1"/>
      <c r="D9" s="1"/>
      <c r="E9" s="1"/>
      <c r="F9" s="1"/>
      <c r="G9" s="1"/>
      <c r="H9" s="1"/>
      <c r="I9" s="1"/>
      <c r="J9" s="1"/>
      <c r="K9" s="1"/>
    </row>
    <row r="10" spans="2:11"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2:11" ht="15.6">
      <c r="B11" s="6" t="s">
        <v>59</v>
      </c>
      <c r="C11" s="6" t="s">
        <v>60</v>
      </c>
      <c r="D11" s="6" t="s">
        <v>61</v>
      </c>
      <c r="E11" s="6" t="s">
        <v>62</v>
      </c>
      <c r="F11" s="1"/>
      <c r="G11" s="1"/>
      <c r="H11" s="1"/>
      <c r="I11" s="1"/>
      <c r="J11" s="1"/>
      <c r="K11" s="1"/>
    </row>
    <row r="12" spans="2:11" ht="15.6">
      <c r="B12" s="44">
        <v>1</v>
      </c>
      <c r="C12" s="45">
        <f>B12*24.4</f>
        <v>24.4</v>
      </c>
      <c r="D12" s="46">
        <f>B12*2.54</f>
        <v>2.54</v>
      </c>
      <c r="E12" s="46">
        <f>B12*0.0254</f>
        <v>2.5399999999999999E-2</v>
      </c>
      <c r="F12" s="1"/>
      <c r="G12" s="1"/>
      <c r="H12" s="1"/>
      <c r="I12" s="1"/>
      <c r="J12" s="1"/>
      <c r="K12" s="1"/>
    </row>
    <row r="13" spans="2:11" ht="15.6">
      <c r="B13" s="47">
        <f>C13*0.0393701</f>
        <v>3.9370099999999998E-2</v>
      </c>
      <c r="C13" s="44">
        <v>1</v>
      </c>
      <c r="D13" s="46">
        <f>C13*0.1</f>
        <v>0.1</v>
      </c>
      <c r="E13" s="46">
        <f>C13*0.001</f>
        <v>1E-3</v>
      </c>
      <c r="F13" s="1"/>
      <c r="G13" s="1"/>
      <c r="H13" s="1"/>
      <c r="I13" s="1"/>
      <c r="J13" s="1"/>
      <c r="K13" s="1"/>
    </row>
    <row r="14" spans="2:11" ht="15.6">
      <c r="B14" s="46">
        <f>D14*0.393701</f>
        <v>0.39370100000000002</v>
      </c>
      <c r="C14" s="46">
        <f>D14*10</f>
        <v>10</v>
      </c>
      <c r="D14" s="44">
        <v>1</v>
      </c>
      <c r="E14" s="46">
        <f>D14*0.01</f>
        <v>0.01</v>
      </c>
      <c r="F14" s="1"/>
      <c r="G14" s="1"/>
      <c r="H14" s="1"/>
      <c r="I14" s="1"/>
      <c r="J14" s="1"/>
      <c r="K14" s="1"/>
    </row>
    <row r="15" spans="2:11" ht="15.6">
      <c r="B15" s="46">
        <f>E15*39.3701</f>
        <v>39.370100000000001</v>
      </c>
      <c r="C15" s="46">
        <f>E15*1000</f>
        <v>1000</v>
      </c>
      <c r="D15" s="46">
        <f>E15*100</f>
        <v>100</v>
      </c>
      <c r="E15" s="44">
        <v>1</v>
      </c>
      <c r="F15" s="1"/>
      <c r="G15" s="1"/>
      <c r="H15" s="1"/>
      <c r="I15" s="1"/>
      <c r="J15" s="1"/>
      <c r="K15" s="1"/>
    </row>
    <row r="16" spans="2:11"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2:11"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2:11" ht="15.6">
      <c r="B18" s="6" t="s">
        <v>63</v>
      </c>
      <c r="C18" s="6" t="s">
        <v>64</v>
      </c>
      <c r="D18" s="6" t="s">
        <v>65</v>
      </c>
      <c r="E18" s="6" t="s">
        <v>66</v>
      </c>
      <c r="F18" s="1"/>
      <c r="G18" s="1"/>
      <c r="H18" s="1"/>
      <c r="I18" s="1"/>
      <c r="J18" s="1"/>
      <c r="K18" s="1"/>
    </row>
    <row r="19" spans="2:11" ht="15.6">
      <c r="B19" s="44">
        <v>1</v>
      </c>
      <c r="C19" s="45">
        <f>B19*1.30795</f>
        <v>1.3079499999999999</v>
      </c>
      <c r="D19" s="46">
        <f>B19*35.3147</f>
        <v>35.314700000000002</v>
      </c>
      <c r="E19" s="46">
        <f>B19*1000</f>
        <v>1000</v>
      </c>
      <c r="F19" s="1"/>
      <c r="G19" s="1"/>
      <c r="H19" s="1"/>
      <c r="I19" s="1"/>
      <c r="J19" s="1"/>
      <c r="K19" s="1"/>
    </row>
    <row r="20" spans="2:11" ht="15.6">
      <c r="B20" s="47">
        <f>C20*0.764555</f>
        <v>0.76455499999999998</v>
      </c>
      <c r="C20" s="44">
        <v>1</v>
      </c>
      <c r="D20" s="46">
        <f>C20*27</f>
        <v>27</v>
      </c>
      <c r="E20" s="46">
        <f>C20*764.555</f>
        <v>764.55499999999995</v>
      </c>
      <c r="F20" s="1"/>
      <c r="G20" s="1"/>
      <c r="H20" s="1"/>
      <c r="I20" s="1"/>
      <c r="J20" s="1"/>
      <c r="K20" s="1"/>
    </row>
    <row r="21" spans="2:11" ht="15.6">
      <c r="B21" s="46">
        <f>D21*0.0283168</f>
        <v>2.83168E-2</v>
      </c>
      <c r="C21" s="46">
        <f>D21*0.037037</f>
        <v>3.7037E-2</v>
      </c>
      <c r="D21" s="44">
        <v>1</v>
      </c>
      <c r="E21" s="46">
        <f>D21*28.3168</f>
        <v>28.316800000000001</v>
      </c>
      <c r="F21" s="1"/>
      <c r="G21" s="1"/>
      <c r="H21" s="1"/>
      <c r="I21" s="1"/>
      <c r="J21" s="1"/>
      <c r="K21" s="1"/>
    </row>
    <row r="22" spans="2:11" ht="15.6">
      <c r="B22" s="46">
        <f>E22*0.001</f>
        <v>1E-3</v>
      </c>
      <c r="C22" s="46">
        <f>E22*0.00130795</f>
        <v>1.30795E-3</v>
      </c>
      <c r="D22" s="46">
        <f>E22*0.0353147</f>
        <v>3.5314699999999997E-2</v>
      </c>
      <c r="E22" s="44">
        <v>1</v>
      </c>
      <c r="F22" s="1"/>
      <c r="G22" s="1"/>
      <c r="H22" s="1"/>
      <c r="I22" s="1"/>
      <c r="J22" s="1"/>
      <c r="K22" s="1"/>
    </row>
    <row r="23" spans="2:11">
      <c r="F23" s="1"/>
      <c r="G23" s="1"/>
      <c r="H23" s="1"/>
      <c r="I23" s="1"/>
      <c r="J23" s="1"/>
      <c r="K23" s="1"/>
    </row>
    <row r="24" spans="2:11">
      <c r="F24" s="1"/>
      <c r="G24" s="1"/>
      <c r="H24" s="1"/>
      <c r="I24" s="1"/>
      <c r="J24" s="1"/>
      <c r="K24" s="1"/>
    </row>
    <row r="25" spans="2:11">
      <c r="F25" s="1"/>
      <c r="G25" s="1"/>
      <c r="H25" s="1"/>
      <c r="I25" s="1"/>
      <c r="J25" s="1"/>
      <c r="K25" s="1"/>
    </row>
    <row r="26" spans="2:11">
      <c r="F26" s="1"/>
      <c r="G26" s="1"/>
      <c r="H26" s="1"/>
      <c r="I26" s="1"/>
      <c r="J26" s="1"/>
      <c r="K26" s="1"/>
    </row>
    <row r="27" spans="2:11"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2:11"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2:11"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2:11"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2:11"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2:11"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6:11">
      <c r="F33" s="1"/>
      <c r="G33" s="1"/>
      <c r="H33" s="1"/>
      <c r="I33" s="1"/>
      <c r="J33" s="1"/>
      <c r="K33" s="1"/>
    </row>
  </sheetData>
  <sheetProtection algorithmName="SHA-512" hashValue="yIulx5Y0pPgc51f4yMn/SAorSxobUzsgs/omCbBXT5o9qLW/bMyls/8z14TdzjaGheUtT8RS+FO5AU9Ags8+Mw==" saltValue="krCGrdyUwDcosTjDb9CSIw==" spinCount="100000" sheet="1" objects="1" scenarios="1" selectLockedCells="1"/>
  <dataValidations count="1">
    <dataValidation type="decimal" operator="greaterThanOrEqual" allowBlank="1" showInputMessage="1" showErrorMessage="1" error="Please enter a number that is 0 or greater." sqref="E22 D21 B12 C13 D14 E15 B19 C20" xr:uid="{00000000-0002-0000-0100-000000000000}">
      <formula1>0</formula1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autoPageBreaks="0"/>
  </sheetPr>
  <dimension ref="B6:X6"/>
  <sheetViews>
    <sheetView showGridLines="0" showRowColHeaders="0" zoomScale="70" zoomScaleNormal="70" workbookViewId="0" xr3:uid="{842E5F09-E766-5B8D-85AF-A39847EA96FD}">
      <selection activeCell="I119" sqref="I119"/>
    </sheetView>
  </sheetViews>
  <sheetFormatPr defaultRowHeight="14.1"/>
  <cols>
    <col min="1" max="1" width="2" customWidth="1"/>
    <col min="9" max="9" width="10.75" customWidth="1"/>
    <col min="10" max="10" width="2.75" customWidth="1"/>
    <col min="23" max="23" width="10.375" customWidth="1"/>
  </cols>
  <sheetData>
    <row r="6" spans="2:24" ht="27.95">
      <c r="B6" s="38" t="s">
        <v>9</v>
      </c>
      <c r="K6" s="38" t="s">
        <v>67</v>
      </c>
      <c r="X6" s="38" t="s">
        <v>68</v>
      </c>
    </row>
  </sheetData>
  <sheetProtection algorithmName="SHA-512" hashValue="Bi/ri9fdZ5Z1Jk/yiSLEJQq9XVzvsLD3a1enJVp8xKxuTqjKu2aHodQKLcAjOK9hjKtgScuqe0tTGHRpokaIsQ==" saltValue="6k9vVmyhaOjOt0RpPWqoaQ==" spinCount="100000" sheet="1" objects="1" scenarios="1" selectLockedCells="1"/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D17"/>
  <sheetViews>
    <sheetView showGridLines="0" showRowColHeaders="0" workbookViewId="0" xr3:uid="{51F8DEE0-4D01-5F28-A812-FC0BD7CAC4A5}">
      <selection activeCell="D92" sqref="D92"/>
    </sheetView>
  </sheetViews>
  <sheetFormatPr defaultRowHeight="14.1"/>
  <cols>
    <col min="1" max="1" width="2.375" customWidth="1"/>
    <col min="3" max="3" width="3.625" customWidth="1"/>
    <col min="4" max="4" width="105.25" bestFit="1" customWidth="1"/>
  </cols>
  <sheetData>
    <row r="2" spans="2:4" ht="27.95">
      <c r="B2" s="2" t="s">
        <v>69</v>
      </c>
      <c r="D2" s="2"/>
    </row>
    <row r="4" spans="2:4" ht="15.6">
      <c r="B4" s="33">
        <v>1</v>
      </c>
      <c r="C4" s="62" t="s">
        <v>70</v>
      </c>
      <c r="D4" s="62"/>
    </row>
    <row r="5" spans="2:4" ht="15.6">
      <c r="B5" s="33"/>
      <c r="C5" s="62"/>
      <c r="D5" s="62"/>
    </row>
    <row r="6" spans="2:4" ht="15.6">
      <c r="B6" s="33">
        <v>2</v>
      </c>
      <c r="C6" s="62" t="s">
        <v>71</v>
      </c>
      <c r="D6" s="62"/>
    </row>
    <row r="7" spans="2:4" ht="15.6">
      <c r="B7" s="33"/>
      <c r="C7" s="62"/>
      <c r="D7" s="62"/>
    </row>
    <row r="8" spans="2:4" ht="15.6">
      <c r="B8" s="33">
        <v>3</v>
      </c>
      <c r="C8" s="63" t="s">
        <v>72</v>
      </c>
      <c r="D8" s="63"/>
    </row>
    <row r="9" spans="2:4" ht="15.6">
      <c r="B9" s="33"/>
      <c r="C9" s="63"/>
      <c r="D9" s="63"/>
    </row>
    <row r="10" spans="2:4" ht="15.6">
      <c r="B10" s="33">
        <v>4</v>
      </c>
      <c r="C10" s="48" t="s">
        <v>73</v>
      </c>
      <c r="D10" s="32"/>
    </row>
    <row r="11" spans="2:4" ht="15.6">
      <c r="B11" s="32"/>
      <c r="C11" s="48"/>
      <c r="D11" s="32" t="s">
        <v>74</v>
      </c>
    </row>
    <row r="12" spans="2:4" ht="15.6">
      <c r="B12" s="32"/>
      <c r="C12" s="48"/>
      <c r="D12" s="49" t="s">
        <v>75</v>
      </c>
    </row>
    <row r="13" spans="2:4" ht="15.6">
      <c r="B13" s="32"/>
      <c r="C13" s="32"/>
      <c r="D13" s="49" t="s">
        <v>76</v>
      </c>
    </row>
    <row r="14" spans="2:4" ht="15.6">
      <c r="B14" s="32"/>
      <c r="C14" s="32"/>
      <c r="D14" s="64" t="s">
        <v>77</v>
      </c>
    </row>
    <row r="15" spans="2:4" ht="15.6">
      <c r="B15" s="32"/>
      <c r="C15" s="32"/>
      <c r="D15" s="64"/>
    </row>
    <row r="16" spans="2:4" ht="15.6">
      <c r="B16" s="32"/>
      <c r="C16" s="32"/>
      <c r="D16" s="49" t="s">
        <v>78</v>
      </c>
    </row>
    <row r="17" spans="2:4" ht="15.6">
      <c r="B17" s="33">
        <v>5</v>
      </c>
      <c r="C17" s="32" t="s">
        <v>79</v>
      </c>
      <c r="D17" s="32"/>
    </row>
  </sheetData>
  <sheetProtection algorithmName="SHA-512" hashValue="y8Mibe/acvAFCR7fTQqRl2M7YQUtUZEXhpY1G6Ljpr+qHUFpcC1Ty9nZBXeYlNFrEcq+ZUMULVKss2yOsD8QBQ==" saltValue="u7jYEuw61OaXYNMiz8KIqA==" spinCount="100000" sheet="1" objects="1" scenarios="1" selectLockedCells="1"/>
  <mergeCells count="4">
    <mergeCell ref="C4:D5"/>
    <mergeCell ref="C6:D7"/>
    <mergeCell ref="C8:D9"/>
    <mergeCell ref="D14:D15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7c2bbc8-6002-4a0d-a80b-56f30e255265">NQCK4AVE555S-1621385187-2111</_dlc_DocId>
    <_dlc_DocIdUrl xmlns="07c2bbc8-6002-4a0d-a80b-56f30e255265">
      <Url>https://epcorweb/en-ca/departments/drainage/sites/DOps/FPP/_layouts/15/DocIdRedir.aspx?ID=NQCK4AVE555S-1621385187-2111</Url>
      <Description>NQCK4AVE555S-1621385187-2111</Description>
    </_dlc_DocIdUrl>
    <Category xmlns="43d8aef1-1dee-4ef5-886a-34d7d48e590b">SWM Rebates</Category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27EDFDCE11AA24DA0FD07A8657E0413" ma:contentTypeVersion="5" ma:contentTypeDescription="Create a new document." ma:contentTypeScope="" ma:versionID="37e4eca93b2df5f9bfd5e231b2854b26">
  <xsd:schema xmlns:xsd="http://www.w3.org/2001/XMLSchema" xmlns:xs="http://www.w3.org/2001/XMLSchema" xmlns:p="http://schemas.microsoft.com/office/2006/metadata/properties" xmlns:ns2="43d8aef1-1dee-4ef5-886a-34d7d48e590b" xmlns:ns3="07c2bbc8-6002-4a0d-a80b-56f30e255265" xmlns:ns4="5d00b0d9-7597-4ec8-b19e-9fdf4616ca12" targetNamespace="http://schemas.microsoft.com/office/2006/metadata/properties" ma:root="true" ma:fieldsID="188e64b05361e3a2c3ca969f956cd40b" ns2:_="" ns3:_="" ns4:_="">
    <xsd:import namespace="43d8aef1-1dee-4ef5-886a-34d7d48e590b"/>
    <xsd:import namespace="07c2bbc8-6002-4a0d-a80b-56f30e255265"/>
    <xsd:import namespace="5d00b0d9-7597-4ec8-b19e-9fdf4616ca12"/>
    <xsd:element name="properties">
      <xsd:complexType>
        <xsd:sequence>
          <xsd:element name="documentManagement">
            <xsd:complexType>
              <xsd:all>
                <xsd:element ref="ns2:Category" minOccurs="0"/>
                <xsd:element ref="ns3:_dlc_DocId" minOccurs="0"/>
                <xsd:element ref="ns3:_dlc_DocIdUrl" minOccurs="0"/>
                <xsd:element ref="ns3:_dlc_DocIdPersistId" minOccurs="0"/>
                <xsd:element ref="ns4:SharedWithUsers" minOccurs="0"/>
                <xsd:element ref="ns4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d8aef1-1dee-4ef5-886a-34d7d48e590b" elementFormDefault="qualified">
    <xsd:import namespace="http://schemas.microsoft.com/office/2006/documentManagement/types"/>
    <xsd:import namespace="http://schemas.microsoft.com/office/infopath/2007/PartnerControls"/>
    <xsd:element name="Category" ma:index="2" nillable="true" ma:displayName="Category" ma:description="Category" ma:format="Dropdown" ma:internalName="Category">
      <xsd:simpleType>
        <xsd:restriction base="dms:Choice">
          <xsd:enumeration value="Subsidy Documents (BWV &amp; Reline)"/>
          <xsd:enumeration value="Multi-Family Inspections"/>
          <xsd:enumeration value="Single Family Inspection Form"/>
          <xsd:enumeration value="Flood Prevention"/>
          <xsd:enumeration value="TIMIFY"/>
          <xsd:enumeration value="Reline Subsidy"/>
          <xsd:enumeration value="Customer Acquisition"/>
          <xsd:enumeration value="Team Documents"/>
          <xsd:enumeration value="Mapping"/>
          <xsd:enumeration value="ICI Program"/>
          <xsd:enumeration value="2022 Annual Report"/>
          <xsd:enumeration value="Archived Mapping Files"/>
          <xsd:enumeration value="Plumbers Presentation"/>
          <xsd:enumeration value="2023 Annual Report"/>
          <xsd:enumeration value="I&amp;I Reduction"/>
          <xsd:enumeration value="SWM Rebates"/>
          <xsd:enumeration value="Advisor Resources"/>
          <xsd:enumeration value="Fleet Resource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c2bbc8-6002-4a0d-a80b-56f30e255265" elementFormDefault="qualified">
    <xsd:import namespace="http://schemas.microsoft.com/office/2006/documentManagement/types"/>
    <xsd:import namespace="http://schemas.microsoft.com/office/infopath/2007/PartnerControls"/>
    <xsd:element name="_dlc_DocId" ma:index="5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7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00b0d9-7597-4ec8-b19e-9fdf4616ca1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4F52F57D-E23B-43B1-A32D-78D5C53E66F1}"/>
</file>

<file path=customXml/itemProps2.xml><?xml version="1.0" encoding="utf-8"?>
<ds:datastoreItem xmlns:ds="http://schemas.openxmlformats.org/officeDocument/2006/customXml" ds:itemID="{E07E861C-EF66-4ADC-AB21-0790B1B5DCF7}"/>
</file>

<file path=customXml/itemProps3.xml><?xml version="1.0" encoding="utf-8"?>
<ds:datastoreItem xmlns:ds="http://schemas.openxmlformats.org/officeDocument/2006/customXml" ds:itemID="{F6FA64DF-B71F-49F6-B262-E6DC8AE79BB6}"/>
</file>

<file path=customXml/itemProps4.xml><?xml version="1.0" encoding="utf-8"?>
<ds:datastoreItem xmlns:ds="http://schemas.openxmlformats.org/officeDocument/2006/customXml" ds:itemID="{2A91983E-1D8C-41D2-B8EF-B09D12F35A0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EPCOR Utilities Inc.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Hajek, Nathalie</dc:creator>
  <cp:keywords/>
  <dc:description/>
  <cp:lastModifiedBy>Hajek, Nathalie</cp:lastModifiedBy>
  <cp:revision/>
  <dcterms:created xsi:type="dcterms:W3CDTF">2024-12-04T18:15:42Z</dcterms:created>
  <dcterms:modified xsi:type="dcterms:W3CDTF">2025-01-27T22:21:15Z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0x010100F27EDFDCE11AA24DA0FD07A8657E0413</vt:lpwstr>
  </property>
  <property fmtid="{D5CDD505-2E9C-101B-9397-08002B2CF9AE}" pid="3" name="_dlc_DocIdItemGuid">
    <vt:lpwstr>9f0f4793-1b23-47db-97f9-95f9e00c0251</vt:lpwstr>
  </property>
</Properties>
</file>